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8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1" i="1" l="1"/>
  <c r="V230" i="1"/>
  <c r="T232" i="1" l="1"/>
  <c r="T230" i="1"/>
  <c r="T231" i="1" s="1"/>
  <c r="K331" i="1" l="1"/>
  <c r="K325" i="1"/>
  <c r="K322" i="1"/>
  <c r="K319" i="1"/>
  <c r="G322" i="1"/>
  <c r="G325" i="1"/>
  <c r="G328" i="1"/>
  <c r="G331" i="1"/>
  <c r="G319" i="1"/>
  <c r="D305" i="1"/>
  <c r="T304" i="1"/>
  <c r="D76" i="1" l="1"/>
  <c r="D309" i="1" l="1"/>
  <c r="D240" i="1"/>
  <c r="O275" i="1"/>
  <c r="O274" i="1"/>
  <c r="T274" i="1" s="1"/>
  <c r="I322" i="1" s="1"/>
  <c r="O273" i="1"/>
  <c r="T273" i="1" s="1"/>
  <c r="I319" i="1" s="1"/>
  <c r="I267" i="1" l="1"/>
  <c r="I283" i="1" s="1"/>
  <c r="D267" i="1"/>
  <c r="I260" i="1"/>
  <c r="I259" i="1"/>
  <c r="I249" i="1"/>
  <c r="I244" i="1"/>
  <c r="I233" i="1"/>
  <c r="I248" i="1"/>
  <c r="I243" i="1"/>
  <c r="I232" i="1"/>
  <c r="D283" i="1" l="1"/>
  <c r="I261" i="1"/>
  <c r="I245" i="1"/>
  <c r="D241" i="1" s="1"/>
  <c r="D310" i="1" s="1"/>
  <c r="D316" i="1" s="1"/>
  <c r="I234" i="1"/>
  <c r="I250" i="1"/>
  <c r="O250" i="1" s="1"/>
  <c r="D169" i="1"/>
  <c r="I320" i="1" l="1"/>
  <c r="T303" i="1"/>
  <c r="T306" i="1" s="1"/>
  <c r="O231" i="1"/>
  <c r="O232" i="1" s="1"/>
  <c r="O234" i="1"/>
  <c r="O249" i="1"/>
  <c r="O252" i="1" s="1"/>
  <c r="O235" i="1"/>
  <c r="O246" i="1"/>
  <c r="O247" i="1" s="1"/>
  <c r="I338" i="1" l="1"/>
  <c r="O248" i="1"/>
  <c r="O251" i="1"/>
  <c r="O237" i="1"/>
  <c r="O236" i="1"/>
  <c r="O233" i="1"/>
  <c r="D202" i="1"/>
  <c r="D203" i="1" s="1"/>
  <c r="D200" i="1"/>
  <c r="D198" i="1"/>
  <c r="D199" i="1" s="1"/>
  <c r="D93" i="1"/>
  <c r="D285" i="1" s="1"/>
  <c r="D173" i="1"/>
  <c r="D174" i="1" s="1"/>
  <c r="D171" i="1"/>
  <c r="D190" i="1" l="1"/>
  <c r="D187" i="1"/>
  <c r="D189" i="1"/>
  <c r="D188" i="1"/>
  <c r="D201" i="1"/>
  <c r="I119" i="1"/>
  <c r="I124" i="1"/>
  <c r="I165" i="1" s="1"/>
  <c r="D117" i="1"/>
  <c r="I118" i="1"/>
  <c r="I121" i="1" l="1"/>
  <c r="I164" i="1"/>
  <c r="I120" i="1"/>
  <c r="I125" i="1" s="1"/>
  <c r="I129" i="1"/>
  <c r="D118" i="1"/>
  <c r="I128" i="1"/>
  <c r="I123" i="1"/>
  <c r="I122" i="1"/>
  <c r="I126" i="1" s="1"/>
  <c r="D124" i="1"/>
  <c r="D119" i="1"/>
  <c r="I159" i="1" s="1"/>
  <c r="D121" i="1" l="1"/>
  <c r="D129" i="1"/>
  <c r="I160" i="1"/>
  <c r="I202" i="1"/>
  <c r="I198" i="1"/>
  <c r="I200" i="1"/>
  <c r="I127" i="1"/>
  <c r="I166" i="1"/>
  <c r="D128" i="1"/>
  <c r="D120" i="1"/>
  <c r="D125" i="1" s="1"/>
  <c r="D122" i="1"/>
  <c r="D126" i="1" s="1"/>
  <c r="D123" i="1"/>
  <c r="I171" i="1" l="1"/>
  <c r="I172" i="1" s="1"/>
  <c r="I173" i="1"/>
  <c r="I174" i="1" s="1"/>
  <c r="I169" i="1"/>
  <c r="I170" i="1" s="1"/>
  <c r="D127" i="1"/>
  <c r="I161" i="1"/>
  <c r="I201" i="1"/>
  <c r="I199" i="1"/>
  <c r="I203" i="1"/>
  <c r="D97" i="1"/>
  <c r="D98" i="1" s="1"/>
  <c r="O159" i="1" l="1"/>
  <c r="O158" i="1"/>
  <c r="I70" i="1"/>
  <c r="I76" i="1" s="1"/>
  <c r="D67" i="1"/>
  <c r="D75" i="1"/>
  <c r="D74" i="1"/>
  <c r="D96" i="1" s="1"/>
  <c r="D73" i="1"/>
  <c r="D95" i="1" s="1"/>
  <c r="D71" i="1"/>
  <c r="D72" i="1" s="1"/>
  <c r="D94" i="1" s="1"/>
  <c r="D65" i="1"/>
  <c r="D66" i="1" s="1"/>
  <c r="O303" i="1" s="1"/>
  <c r="I84" i="1" l="1"/>
  <c r="I91" i="1"/>
  <c r="D99" i="1"/>
  <c r="D100" i="1"/>
  <c r="I73" i="1"/>
  <c r="I86" i="1" s="1"/>
  <c r="I75" i="1"/>
  <c r="I90" i="1" s="1"/>
  <c r="I74" i="1"/>
  <c r="I87" i="1" s="1"/>
  <c r="I71" i="1"/>
  <c r="I72" i="1" s="1"/>
  <c r="I85" i="1" s="1"/>
  <c r="V10" i="1"/>
  <c r="K10" i="1"/>
  <c r="V12" i="1"/>
  <c r="V11" i="1"/>
  <c r="O10" i="1"/>
  <c r="O14" i="1" s="1"/>
  <c r="O18" i="1" s="1"/>
  <c r="V18" i="1" s="1"/>
  <c r="D10" i="1"/>
  <c r="D15" i="1" s="1"/>
  <c r="I269" i="1" l="1"/>
  <c r="I272" i="1" s="1"/>
  <c r="I277" i="1" s="1"/>
  <c r="I278" i="1" s="1"/>
  <c r="D208" i="1"/>
  <c r="D209" i="1"/>
  <c r="I88" i="1"/>
  <c r="I89" i="1" s="1"/>
  <c r="D206" i="1"/>
  <c r="D207" i="1"/>
  <c r="D140" i="1"/>
  <c r="I131" i="1"/>
  <c r="V17" i="1"/>
  <c r="V16" i="1"/>
  <c r="O15" i="1"/>
  <c r="D14" i="1"/>
  <c r="D18" i="1" s="1"/>
  <c r="K17" i="1" s="1"/>
  <c r="T44" i="1"/>
  <c r="O27" i="1"/>
  <c r="O28" i="1" s="1"/>
  <c r="O25" i="1"/>
  <c r="O26" i="1" s="1"/>
  <c r="O21" i="1"/>
  <c r="O20" i="1"/>
  <c r="T19" i="1"/>
  <c r="O13" i="1"/>
  <c r="O12" i="1"/>
  <c r="S9" i="1"/>
  <c r="K12" i="1"/>
  <c r="K11" i="1"/>
  <c r="I19" i="1"/>
  <c r="I44" i="1"/>
  <c r="D21" i="1"/>
  <c r="I132" i="1" l="1"/>
  <c r="I163" i="1" s="1"/>
  <c r="I206" i="1" s="1"/>
  <c r="D141" i="1"/>
  <c r="K16" i="1"/>
  <c r="K18" i="1"/>
  <c r="O17" i="1"/>
  <c r="H9" i="1"/>
  <c r="I162" i="1" l="1"/>
  <c r="I195" i="1" s="1"/>
  <c r="D288" i="1"/>
  <c r="D293" i="1" s="1"/>
  <c r="D294" i="1" s="1"/>
  <c r="I187" i="1"/>
  <c r="I188" i="1"/>
  <c r="I211" i="1"/>
  <c r="I207" i="1"/>
  <c r="I213" i="1"/>
  <c r="I208" i="1"/>
  <c r="I209" i="1"/>
  <c r="I212" i="1"/>
  <c r="D213" i="1"/>
  <c r="D212" i="1"/>
  <c r="D211" i="1"/>
  <c r="I135" i="1"/>
  <c r="I134" i="1"/>
  <c r="I133" i="1"/>
  <c r="I136" i="1"/>
  <c r="I137" i="1" s="1"/>
  <c r="I138" i="1"/>
  <c r="D145" i="1"/>
  <c r="D146" i="1" s="1"/>
  <c r="D142" i="1"/>
  <c r="D144" i="1"/>
  <c r="D143" i="1"/>
  <c r="D147" i="1"/>
  <c r="V15" i="1"/>
  <c r="V14" i="1"/>
  <c r="V13" i="1"/>
  <c r="O19" i="1"/>
  <c r="O22" i="1" s="1"/>
  <c r="T40" i="1" s="1"/>
  <c r="I100" i="1" s="1"/>
  <c r="D27" i="1"/>
  <c r="D25" i="1"/>
  <c r="I192" i="1" l="1"/>
  <c r="I194" i="1"/>
  <c r="I189" i="1"/>
  <c r="I190" i="1"/>
  <c r="I193" i="1"/>
  <c r="D26" i="1"/>
  <c r="D170" i="1"/>
  <c r="D28" i="1"/>
  <c r="D172" i="1"/>
  <c r="D216" i="1"/>
  <c r="D217" i="1"/>
  <c r="D223" i="1"/>
  <c r="D219" i="1"/>
  <c r="D222" i="1"/>
  <c r="D218" i="1"/>
  <c r="D221" i="1"/>
  <c r="T35" i="1"/>
  <c r="T36" i="1" s="1"/>
  <c r="T31" i="1"/>
  <c r="T32" i="1" s="1"/>
  <c r="O31" i="1"/>
  <c r="T38" i="1"/>
  <c r="I99" i="1" s="1"/>
  <c r="T34" i="1"/>
  <c r="T41" i="1"/>
  <c r="I93" i="1" s="1"/>
  <c r="I285" i="1" s="1"/>
  <c r="T33" i="1"/>
  <c r="I95" i="1" s="1"/>
  <c r="I77" i="1"/>
  <c r="I103" i="1" s="1"/>
  <c r="D20" i="1"/>
  <c r="D13" i="1"/>
  <c r="D12" i="1"/>
  <c r="I96" i="1" l="1"/>
  <c r="T39" i="1"/>
  <c r="I97" i="1"/>
  <c r="I98" i="1" s="1"/>
  <c r="D204" i="1"/>
  <c r="T45" i="1"/>
  <c r="T47" i="1" s="1"/>
  <c r="I94" i="1"/>
  <c r="I102" i="1" s="1"/>
  <c r="I105" i="1" s="1"/>
  <c r="I106" i="1" s="1"/>
  <c r="T48" i="1"/>
  <c r="T37" i="1"/>
  <c r="O38" i="1"/>
  <c r="O32" i="1"/>
  <c r="I140" i="1"/>
  <c r="T49" i="1"/>
  <c r="D17" i="1"/>
  <c r="T50" i="1" l="1"/>
  <c r="T51" i="1" s="1"/>
  <c r="T46" i="1"/>
  <c r="D210" i="1"/>
  <c r="D214" i="1"/>
  <c r="D224" i="1"/>
  <c r="D220" i="1"/>
  <c r="K13" i="1"/>
  <c r="D192" i="1"/>
  <c r="D193" i="1"/>
  <c r="D194" i="1"/>
  <c r="I104" i="1"/>
  <c r="O306" i="1" s="1"/>
  <c r="I141" i="1"/>
  <c r="I150" i="1"/>
  <c r="O34" i="1"/>
  <c r="O33" i="1"/>
  <c r="K15" i="1"/>
  <c r="K14" i="1"/>
  <c r="D19" i="1"/>
  <c r="D22" i="1" s="1"/>
  <c r="I40" i="1" s="1"/>
  <c r="I167" i="1" l="1"/>
  <c r="I204" i="1" s="1"/>
  <c r="I220" i="1" s="1"/>
  <c r="I288" i="1"/>
  <c r="I293" i="1" s="1"/>
  <c r="I294" i="1" s="1"/>
  <c r="D184" i="1"/>
  <c r="D177" i="1"/>
  <c r="D182" i="1"/>
  <c r="D179" i="1"/>
  <c r="D183" i="1"/>
  <c r="D180" i="1"/>
  <c r="D178" i="1"/>
  <c r="I214" i="1"/>
  <c r="I210" i="1"/>
  <c r="I218" i="1"/>
  <c r="I221" i="1"/>
  <c r="I222" i="1"/>
  <c r="I224" i="1"/>
  <c r="I144" i="1"/>
  <c r="I147" i="1"/>
  <c r="I151" i="1" s="1"/>
  <c r="I145" i="1"/>
  <c r="I146" i="1" s="1"/>
  <c r="I143" i="1"/>
  <c r="I142" i="1"/>
  <c r="I149" i="1" s="1"/>
  <c r="I152" i="1" s="1"/>
  <c r="I153" i="1" s="1"/>
  <c r="O35" i="1"/>
  <c r="O41" i="1" s="1"/>
  <c r="O45" i="1"/>
  <c r="O40" i="1"/>
  <c r="O55" i="1" s="1"/>
  <c r="O281" i="1" s="1"/>
  <c r="O37" i="1"/>
  <c r="I35" i="1"/>
  <c r="I34" i="1"/>
  <c r="D87" i="1" s="1"/>
  <c r="I33" i="1"/>
  <c r="D86" i="1" s="1"/>
  <c r="I31" i="1"/>
  <c r="I32" i="1" s="1"/>
  <c r="I41" i="1"/>
  <c r="D84" i="1" s="1"/>
  <c r="D91" i="1"/>
  <c r="I38" i="1"/>
  <c r="D90" i="1" s="1"/>
  <c r="D31" i="1"/>
  <c r="I217" i="1" l="1"/>
  <c r="I223" i="1"/>
  <c r="D103" i="1"/>
  <c r="I219" i="1"/>
  <c r="I216" i="1"/>
  <c r="D175" i="1"/>
  <c r="D181" i="1" s="1"/>
  <c r="D269" i="1"/>
  <c r="D272" i="1" s="1"/>
  <c r="D131" i="1"/>
  <c r="D77" i="1"/>
  <c r="D104" i="1" s="1"/>
  <c r="D311" i="1" s="1"/>
  <c r="I45" i="1"/>
  <c r="I46" i="1" s="1"/>
  <c r="D85" i="1"/>
  <c r="I36" i="1"/>
  <c r="D89" i="1" s="1"/>
  <c r="D88" i="1"/>
  <c r="I48" i="1"/>
  <c r="O36" i="1"/>
  <c r="O39" i="1" s="1"/>
  <c r="O50" i="1"/>
  <c r="O56" i="1" s="1"/>
  <c r="O283" i="1" s="1"/>
  <c r="O46" i="1"/>
  <c r="O47" i="1"/>
  <c r="I49" i="1"/>
  <c r="I39" i="1"/>
  <c r="I37" i="1"/>
  <c r="D38" i="1"/>
  <c r="D32" i="1"/>
  <c r="D195" i="1" l="1"/>
  <c r="D191" i="1"/>
  <c r="D185" i="1"/>
  <c r="I47" i="1"/>
  <c r="I50" i="1"/>
  <c r="I51" i="1" s="1"/>
  <c r="D102" i="1"/>
  <c r="D105" i="1" s="1"/>
  <c r="D106" i="1" s="1"/>
  <c r="D132" i="1"/>
  <c r="D151" i="1"/>
  <c r="O57" i="1"/>
  <c r="O48" i="1"/>
  <c r="O49" i="1"/>
  <c r="O301" i="1" s="1"/>
  <c r="O51" i="1"/>
  <c r="D34" i="1"/>
  <c r="D35" i="1" s="1"/>
  <c r="D33" i="1"/>
  <c r="T265" i="1" l="1"/>
  <c r="O284" i="1"/>
  <c r="O302" i="1" s="1"/>
  <c r="O304" i="1" s="1"/>
  <c r="I158" i="1"/>
  <c r="D277" i="1"/>
  <c r="D278" i="1" s="1"/>
  <c r="D135" i="1"/>
  <c r="D136" i="1"/>
  <c r="D137" i="1" s="1"/>
  <c r="D138" i="1"/>
  <c r="D150" i="1" s="1"/>
  <c r="D134" i="1"/>
  <c r="D133" i="1"/>
  <c r="D149" i="1" s="1"/>
  <c r="D152" i="1" s="1"/>
  <c r="D153" i="1" s="1"/>
  <c r="D37" i="1"/>
  <c r="D40" i="1"/>
  <c r="D55" i="1" s="1"/>
  <c r="O276" i="1" s="1"/>
  <c r="D45" i="1"/>
  <c r="D41" i="1"/>
  <c r="D36" i="1"/>
  <c r="D39" i="1" s="1"/>
  <c r="I182" i="1" l="1"/>
  <c r="I175" i="1"/>
  <c r="I185" i="1" s="1"/>
  <c r="I178" i="1"/>
  <c r="O305" i="1"/>
  <c r="O308" i="1"/>
  <c r="I180" i="1"/>
  <c r="I184" i="1"/>
  <c r="I179" i="1"/>
  <c r="I177" i="1"/>
  <c r="I183" i="1"/>
  <c r="D50" i="1"/>
  <c r="D56" i="1" s="1"/>
  <c r="O277" i="1" s="1"/>
  <c r="D47" i="1"/>
  <c r="D46" i="1"/>
  <c r="D48" i="1"/>
  <c r="D49" i="1"/>
  <c r="O160" i="1" l="1"/>
  <c r="O161" i="1" s="1"/>
  <c r="I273" i="1" s="1"/>
  <c r="I191" i="1"/>
  <c r="I181" i="1"/>
  <c r="D51" i="1"/>
  <c r="I54" i="1"/>
  <c r="D57" i="1"/>
  <c r="D273" i="1" l="1"/>
  <c r="D289" i="1" s="1"/>
  <c r="D291" i="1" s="1"/>
  <c r="D292" i="1" s="1"/>
  <c r="D61" i="1"/>
  <c r="D60" i="1" s="1"/>
  <c r="D62" i="1" s="1"/>
  <c r="D63" i="1" s="1"/>
  <c r="O278" i="1"/>
  <c r="D242" i="1" s="1"/>
  <c r="D312" i="1" s="1"/>
  <c r="I275" i="1"/>
  <c r="I276" i="1" s="1"/>
  <c r="I289" i="1"/>
  <c r="I291" i="1" s="1"/>
  <c r="I292" i="1" s="1"/>
  <c r="I55" i="1"/>
  <c r="I56" i="1" s="1"/>
  <c r="I57" i="1" s="1"/>
  <c r="D109" i="1"/>
  <c r="D275" i="1" l="1"/>
  <c r="D276" i="1" s="1"/>
  <c r="D79" i="1"/>
  <c r="D80" i="1" s="1"/>
  <c r="D313" i="1"/>
  <c r="D110" i="1"/>
  <c r="D268" i="1"/>
  <c r="T54" i="1"/>
  <c r="T55" i="1" s="1"/>
  <c r="T56" i="1" s="1"/>
  <c r="T57" i="1" s="1"/>
  <c r="D279" i="1" l="1"/>
  <c r="T275" i="1"/>
  <c r="D111" i="1"/>
  <c r="D270" i="1"/>
  <c r="D280" i="1" l="1"/>
  <c r="D299" i="1" s="1"/>
  <c r="T276" i="1"/>
  <c r="D112" i="1"/>
  <c r="D284" i="1"/>
  <c r="D295" i="1" l="1"/>
  <c r="D300" i="1" s="1"/>
  <c r="D301" i="1" s="1"/>
  <c r="D302" i="1" s="1"/>
  <c r="T278" i="1"/>
  <c r="I109" i="1"/>
  <c r="D286" i="1"/>
  <c r="T279" i="1" s="1"/>
  <c r="D314" i="1" s="1"/>
  <c r="D315" i="1" l="1"/>
  <c r="T281" i="1"/>
  <c r="T277" i="1"/>
  <c r="I325" i="1" s="1"/>
  <c r="D303" i="1"/>
  <c r="D306" i="1" s="1"/>
  <c r="I110" i="1"/>
  <c r="I268" i="1"/>
  <c r="T280" i="1" s="1"/>
  <c r="I323" i="1" l="1"/>
  <c r="T300" i="1"/>
  <c r="T301" i="1" s="1"/>
  <c r="D317" i="1"/>
  <c r="I111" i="1"/>
  <c r="I284" i="1" s="1"/>
  <c r="I295" i="1" s="1"/>
  <c r="I300" i="1" s="1"/>
  <c r="I270" i="1"/>
  <c r="I346" i="1" l="1"/>
  <c r="I339" i="1"/>
  <c r="I341" i="1" s="1"/>
  <c r="I335" i="1"/>
  <c r="I336" i="1" s="1"/>
  <c r="T302" i="1"/>
  <c r="T305" i="1"/>
  <c r="I305" i="1"/>
  <c r="I326" i="1"/>
  <c r="I280" i="1"/>
  <c r="I299" i="1" s="1"/>
  <c r="I301" i="1" s="1"/>
  <c r="I302" i="1" s="1"/>
  <c r="I304" i="1" s="1"/>
  <c r="T282" i="1"/>
  <c r="I112" i="1"/>
  <c r="T284" i="1"/>
  <c r="I337" i="1" l="1"/>
  <c r="I340" i="1"/>
  <c r="I307" i="1"/>
  <c r="I347" i="1"/>
  <c r="I349" i="1" s="1"/>
  <c r="I343" i="1"/>
  <c r="I344" i="1" s="1"/>
  <c r="I354" i="1"/>
  <c r="I303" i="1"/>
  <c r="T283" i="1"/>
  <c r="I328" i="1" s="1"/>
  <c r="T285" i="1"/>
  <c r="O307" i="1" s="1"/>
  <c r="T266" i="1"/>
  <c r="I286" i="1"/>
  <c r="I296" i="1" s="1"/>
  <c r="I345" i="1" l="1"/>
  <c r="I348" i="1"/>
  <c r="I306" i="1"/>
  <c r="O309" i="1"/>
  <c r="O310" i="1"/>
  <c r="I309" i="1" s="1"/>
  <c r="I312" i="1" l="1"/>
  <c r="K328" i="1"/>
  <c r="I310" i="1"/>
  <c r="I313" i="1" s="1"/>
  <c r="I329" i="1" s="1"/>
  <c r="T286" i="1"/>
  <c r="I331" i="1" s="1"/>
  <c r="I355" i="1" l="1"/>
  <c r="I357" i="1" s="1"/>
  <c r="I351" i="1"/>
  <c r="I352" i="1" s="1"/>
  <c r="I353" i="1" l="1"/>
  <c r="I356" i="1"/>
</calcChain>
</file>

<file path=xl/sharedStrings.xml><?xml version="1.0" encoding="utf-8"?>
<sst xmlns="http://schemas.openxmlformats.org/spreadsheetml/2006/main" count="1723" uniqueCount="337">
  <si>
    <t>Návrhová rychlost</t>
  </si>
  <si>
    <t>poloměr oblouku</t>
  </si>
  <si>
    <t>R</t>
  </si>
  <si>
    <t>km/h</t>
  </si>
  <si>
    <t>m</t>
  </si>
  <si>
    <t>mm</t>
  </si>
  <si>
    <t>I</t>
  </si>
  <si>
    <t>E</t>
  </si>
  <si>
    <t>Teoretické převýšení</t>
  </si>
  <si>
    <t>Doporučené převýšení</t>
  </si>
  <si>
    <t>Nedostatek převýšení</t>
  </si>
  <si>
    <t>Přebytek převýšení</t>
  </si>
  <si>
    <r>
      <t>D</t>
    </r>
    <r>
      <rPr>
        <b/>
        <vertAlign val="subscript"/>
        <sz val="11"/>
        <color theme="1"/>
        <rFont val="Times New Roman"/>
        <family val="1"/>
        <charset val="238"/>
      </rPr>
      <t>eq</t>
    </r>
  </si>
  <si>
    <r>
      <t>D</t>
    </r>
    <r>
      <rPr>
        <b/>
        <vertAlign val="subscript"/>
        <sz val="11"/>
        <color theme="1"/>
        <rFont val="Times New Roman"/>
        <family val="1"/>
        <charset val="238"/>
      </rPr>
      <t>N</t>
    </r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</si>
  <si>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k</t>
    </r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</si>
  <si>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k,min</t>
    </r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</si>
  <si>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d</t>
    </r>
  </si>
  <si>
    <t>Délka přechodnice</t>
  </si>
  <si>
    <t>Délka vzestupnice</t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</si>
  <si>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 xml:space="preserve">d </t>
    </r>
    <r>
      <rPr>
        <b/>
        <sz val="11"/>
        <color theme="1"/>
        <rFont val="Times New Roman"/>
        <family val="1"/>
        <charset val="238"/>
      </rPr>
      <t>= L</t>
    </r>
    <r>
      <rPr>
        <b/>
        <vertAlign val="subscript"/>
        <sz val="11"/>
        <color theme="1"/>
        <rFont val="Times New Roman"/>
        <family val="1"/>
        <charset val="238"/>
      </rPr>
      <t>k</t>
    </r>
  </si>
  <si>
    <t>Navržené převýšení</t>
  </si>
  <si>
    <t>D</t>
  </si>
  <si>
    <r>
      <t>V</t>
    </r>
    <r>
      <rPr>
        <b/>
        <vertAlign val="subscript"/>
        <sz val="11"/>
        <color theme="1"/>
        <rFont val="Times New Roman"/>
        <family val="1"/>
        <charset val="238"/>
      </rPr>
      <t>130</t>
    </r>
  </si>
  <si>
    <t>sin λ</t>
  </si>
  <si>
    <t>λ</t>
  </si>
  <si>
    <t>°</t>
  </si>
  <si>
    <t>grad</t>
  </si>
  <si>
    <t>γ</t>
  </si>
  <si>
    <t>k</t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</si>
  <si>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p</t>
    </r>
  </si>
  <si>
    <r>
      <t>X</t>
    </r>
    <r>
      <rPr>
        <b/>
        <vertAlign val="subscript"/>
        <sz val="11"/>
        <color theme="1"/>
        <rFont val="Times New Roman"/>
        <family val="1"/>
        <charset val="238"/>
      </rPr>
      <t>s</t>
    </r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</si>
  <si>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0</t>
    </r>
  </si>
  <si>
    <r>
      <t>I</t>
    </r>
    <r>
      <rPr>
        <b/>
        <vertAlign val="subscript"/>
        <sz val="11"/>
        <color theme="1"/>
        <rFont val="Times New Roman"/>
        <family val="1"/>
        <charset val="238"/>
      </rPr>
      <t>130</t>
    </r>
  </si>
  <si>
    <r>
      <t>V</t>
    </r>
    <r>
      <rPr>
        <b/>
        <vertAlign val="subscript"/>
        <sz val="11"/>
        <color theme="1"/>
        <rFont val="Times New Roman"/>
        <family val="1"/>
        <charset val="238"/>
      </rPr>
      <t>150</t>
    </r>
  </si>
  <si>
    <r>
      <t>I</t>
    </r>
    <r>
      <rPr>
        <b/>
        <vertAlign val="subscript"/>
        <sz val="11"/>
        <color theme="1"/>
        <rFont val="Times New Roman"/>
        <family val="1"/>
        <charset val="238"/>
      </rPr>
      <t>150</t>
    </r>
  </si>
  <si>
    <r>
      <t>α</t>
    </r>
    <r>
      <rPr>
        <b/>
        <vertAlign val="subscript"/>
        <sz val="11"/>
        <color theme="1"/>
        <rFont val="Times New Roman"/>
        <family val="1"/>
        <charset val="238"/>
      </rPr>
      <t>s1</t>
    </r>
  </si>
  <si>
    <r>
      <t>d</t>
    </r>
    <r>
      <rPr>
        <b/>
        <vertAlign val="subscript"/>
        <sz val="11"/>
        <color theme="1"/>
        <rFont val="Times New Roman"/>
        <family val="1"/>
        <charset val="238"/>
      </rPr>
      <t>0</t>
    </r>
  </si>
  <si>
    <t>vzepětí oblouku</t>
  </si>
  <si>
    <t>úhel oblouku</t>
  </si>
  <si>
    <t>délka přechodnice</t>
  </si>
  <si>
    <t>kubická parabola</t>
  </si>
  <si>
    <r>
      <t>τ</t>
    </r>
    <r>
      <rPr>
        <b/>
        <vertAlign val="subscript"/>
        <sz val="11"/>
        <color theme="1"/>
        <rFont val="Calibri"/>
        <family val="2"/>
        <charset val="238"/>
      </rPr>
      <t>K</t>
    </r>
  </si>
  <si>
    <t>rad</t>
  </si>
  <si>
    <r>
      <t>X</t>
    </r>
    <r>
      <rPr>
        <b/>
        <vertAlign val="subscript"/>
        <sz val="11"/>
        <color theme="1"/>
        <rFont val="Times New Roman"/>
        <family val="1"/>
        <charset val="238"/>
      </rPr>
      <t>k</t>
    </r>
  </si>
  <si>
    <r>
      <t>Y</t>
    </r>
    <r>
      <rPr>
        <b/>
        <vertAlign val="subscript"/>
        <sz val="11"/>
        <color theme="1"/>
        <rFont val="Times New Roman"/>
        <family val="1"/>
        <charset val="238"/>
      </rPr>
      <t>k</t>
    </r>
  </si>
  <si>
    <r>
      <t>A</t>
    </r>
    <r>
      <rPr>
        <b/>
        <vertAlign val="superscript"/>
        <sz val="11"/>
        <color theme="1"/>
        <rFont val="Times New Roman"/>
        <family val="1"/>
        <charset val="238"/>
      </rPr>
      <t>2</t>
    </r>
  </si>
  <si>
    <t>klotoida</t>
  </si>
  <si>
    <t>kružnicový oblouk s kubickou parabolou</t>
  </si>
  <si>
    <t>z</t>
  </si>
  <si>
    <t>T</t>
  </si>
  <si>
    <t>délka tečny</t>
  </si>
  <si>
    <r>
      <t>α</t>
    </r>
    <r>
      <rPr>
        <b/>
        <vertAlign val="subscript"/>
        <sz val="11"/>
        <color theme="1"/>
        <rFont val="Times New Roman"/>
        <family val="1"/>
        <charset val="238"/>
      </rPr>
      <t>0</t>
    </r>
  </si>
  <si>
    <t>celková délka</t>
  </si>
  <si>
    <t>O</t>
  </si>
  <si>
    <t>úhel kružnicové části oblouku</t>
  </si>
  <si>
    <t>délka tečny kč oblouku</t>
  </si>
  <si>
    <t>délka kružnicové části oblouku</t>
  </si>
  <si>
    <t>A</t>
  </si>
  <si>
    <r>
      <t>t</t>
    </r>
    <r>
      <rPr>
        <b/>
        <vertAlign val="subscript"/>
        <sz val="11"/>
        <color theme="0" tint="-0.34998626667073579"/>
        <rFont val="Times New Roman"/>
        <family val="1"/>
        <charset val="238"/>
      </rPr>
      <t>0</t>
    </r>
  </si>
  <si>
    <r>
      <t>z</t>
    </r>
    <r>
      <rPr>
        <b/>
        <vertAlign val="subscript"/>
        <sz val="11"/>
        <color theme="0" tint="-0.34998626667073579"/>
        <rFont val="Times New Roman"/>
        <family val="1"/>
        <charset val="238"/>
      </rPr>
      <t>0</t>
    </r>
  </si>
  <si>
    <t>ZP1</t>
  </si>
  <si>
    <t>km</t>
  </si>
  <si>
    <t>začátek přechodnice</t>
  </si>
  <si>
    <r>
      <t>D</t>
    </r>
    <r>
      <rPr>
        <b/>
        <vertAlign val="subscript"/>
        <sz val="11"/>
        <color theme="1"/>
        <rFont val="Times New Roman"/>
        <family val="1"/>
        <charset val="238"/>
      </rPr>
      <t>lim</t>
    </r>
  </si>
  <si>
    <r>
      <t>D</t>
    </r>
    <r>
      <rPr>
        <b/>
        <vertAlign val="subscript"/>
        <sz val="11"/>
        <color theme="1"/>
        <rFont val="Times New Roman"/>
        <family val="1"/>
        <charset val="238"/>
      </rPr>
      <t>max</t>
    </r>
  </si>
  <si>
    <r>
      <t>I</t>
    </r>
    <r>
      <rPr>
        <b/>
        <vertAlign val="subscript"/>
        <sz val="11"/>
        <color theme="1"/>
        <rFont val="Times New Roman"/>
        <family val="1"/>
        <charset val="238"/>
      </rPr>
      <t>lim</t>
    </r>
  </si>
  <si>
    <r>
      <t>I</t>
    </r>
    <r>
      <rPr>
        <b/>
        <vertAlign val="subscript"/>
        <sz val="11"/>
        <color theme="1"/>
        <rFont val="Times New Roman"/>
        <family val="1"/>
        <charset val="238"/>
      </rPr>
      <t>max</t>
    </r>
  </si>
  <si>
    <r>
      <t>E</t>
    </r>
    <r>
      <rPr>
        <b/>
        <vertAlign val="subscript"/>
        <sz val="11"/>
        <color theme="1"/>
        <rFont val="Times New Roman"/>
        <family val="1"/>
        <charset val="238"/>
      </rPr>
      <t>lim</t>
    </r>
  </si>
  <si>
    <r>
      <t>E</t>
    </r>
    <r>
      <rPr>
        <b/>
        <vertAlign val="subscript"/>
        <sz val="11"/>
        <color theme="1"/>
        <rFont val="Times New Roman"/>
        <family val="1"/>
        <charset val="238"/>
      </rPr>
      <t>max</t>
    </r>
  </si>
  <si>
    <t>ZO</t>
  </si>
  <si>
    <t>KO</t>
  </si>
  <si>
    <t>KP1</t>
  </si>
  <si>
    <t>začátek oblouku</t>
  </si>
  <si>
    <t>konec oblouku</t>
  </si>
  <si>
    <t>konec přechodnice</t>
  </si>
  <si>
    <t>staničení</t>
  </si>
  <si>
    <t>-</t>
  </si>
  <si>
    <t>vozidla využívající vyšší nedostatek převýšení</t>
  </si>
  <si>
    <t>základní parametry</t>
  </si>
  <si>
    <t>délka ve směru osy x</t>
  </si>
  <si>
    <r>
      <t xml:space="preserve">úhel </t>
    </r>
    <r>
      <rPr>
        <sz val="11"/>
        <color theme="1"/>
        <rFont val="Calibri"/>
        <family val="2"/>
        <charset val="238"/>
      </rPr>
      <t>λ</t>
    </r>
  </si>
  <si>
    <t>délka ve směru osy y</t>
  </si>
  <si>
    <t>vzdálenost středu oblouku</t>
  </si>
  <si>
    <r>
      <t>šedé hodnoty by se neměly lišit (k, X</t>
    </r>
    <r>
      <rPr>
        <vertAlign val="subscript"/>
        <sz val="10"/>
        <color theme="0" tint="-0.34998626667073579"/>
        <rFont val="Calibri"/>
        <family val="2"/>
        <charset val="238"/>
        <scheme val="minor"/>
      </rPr>
      <t>s</t>
    </r>
    <r>
      <rPr>
        <sz val="10"/>
        <color theme="0" tint="-0.34998626667073579"/>
        <rFont val="Calibri"/>
        <family val="2"/>
        <charset val="238"/>
        <scheme val="minor"/>
      </rPr>
      <t>, m, l</t>
    </r>
    <r>
      <rPr>
        <vertAlign val="subscript"/>
        <sz val="10"/>
        <color theme="0" tint="-0.34998626667073579"/>
        <rFont val="Calibri"/>
        <family val="2"/>
        <charset val="238"/>
        <scheme val="minor"/>
      </rPr>
      <t>0</t>
    </r>
    <r>
      <rPr>
        <sz val="10"/>
        <color theme="0" tint="-0.34998626667073579"/>
        <rFont val="Calibri"/>
        <family val="2"/>
        <charset val="238"/>
        <scheme val="minor"/>
      </rPr>
      <t>) nebo jsou nepodstatné pro výpočet (t</t>
    </r>
    <r>
      <rPr>
        <vertAlign val="subscript"/>
        <sz val="10"/>
        <color theme="0" tint="-0.34998626667073579"/>
        <rFont val="Calibri"/>
        <family val="2"/>
        <charset val="238"/>
        <scheme val="minor"/>
      </rPr>
      <t>0</t>
    </r>
    <r>
      <rPr>
        <sz val="10"/>
        <color theme="0" tint="-0.34998626667073579"/>
        <rFont val="Calibri"/>
        <family val="2"/>
        <charset val="238"/>
        <scheme val="minor"/>
      </rPr>
      <t>, z</t>
    </r>
    <r>
      <rPr>
        <vertAlign val="subscript"/>
        <sz val="10"/>
        <color theme="0" tint="-0.34998626667073579"/>
        <rFont val="Calibri"/>
        <family val="2"/>
        <charset val="238"/>
        <scheme val="minor"/>
      </rPr>
      <t>0</t>
    </r>
    <r>
      <rPr>
        <sz val="10"/>
        <color theme="0" tint="-0.34998626667073579"/>
        <rFont val="Calibri"/>
        <family val="2"/>
        <charset val="238"/>
        <scheme val="minor"/>
      </rPr>
      <t>)</t>
    </r>
  </si>
  <si>
    <r>
      <t xml:space="preserve">úhel </t>
    </r>
    <r>
      <rPr>
        <sz val="11"/>
        <color theme="1"/>
        <rFont val="Calibri"/>
        <family val="2"/>
        <charset val="238"/>
      </rPr>
      <t>τ</t>
    </r>
    <r>
      <rPr>
        <vertAlign val="subscript"/>
        <sz val="11"/>
        <color theme="1"/>
        <rFont val="Calibri"/>
        <family val="2"/>
        <charset val="238"/>
      </rPr>
      <t>K</t>
    </r>
  </si>
  <si>
    <t>parametr klotoidy</t>
  </si>
  <si>
    <t>odsazení</t>
  </si>
  <si>
    <t>mezní hodnota převýšení</t>
  </si>
  <si>
    <t>maximální hodnota převýšení</t>
  </si>
  <si>
    <t>mezní hodnota nedostatku</t>
  </si>
  <si>
    <t>maximální hodnota nedostatku</t>
  </si>
  <si>
    <t>mezní hodnota přebytku</t>
  </si>
  <si>
    <t>maximální hodnota přebytku</t>
  </si>
  <si>
    <t>vzdálenost mezi přechodnicemi</t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</si>
  <si>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lim</t>
    </r>
  </si>
  <si>
    <t>mimimální vzdálenost přechodnic</t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</si>
  <si>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min</t>
    </r>
  </si>
  <si>
    <t>kružnicový oblouk s klotoidou</t>
  </si>
  <si>
    <t>omezení</t>
  </si>
  <si>
    <t>rozšíření rozchodu koleje</t>
  </si>
  <si>
    <t>směrový oblouk č. 1</t>
  </si>
  <si>
    <t>směrový oblouk č. 2</t>
  </si>
  <si>
    <t>ZP2</t>
  </si>
  <si>
    <t>KP2</t>
  </si>
  <si>
    <t>L</t>
  </si>
  <si>
    <t>vzdálenost vrcholových bodů</t>
  </si>
  <si>
    <r>
      <t>VB</t>
    </r>
    <r>
      <rPr>
        <b/>
        <vertAlign val="subscript"/>
        <sz val="11"/>
        <color theme="1"/>
        <rFont val="Times New Roman"/>
        <family val="1"/>
        <charset val="238"/>
      </rPr>
      <t>1</t>
    </r>
    <r>
      <rPr>
        <b/>
        <sz val="11"/>
        <color theme="1"/>
        <rFont val="Times New Roman"/>
        <family val="1"/>
        <charset val="238"/>
      </rPr>
      <t>VB</t>
    </r>
    <r>
      <rPr>
        <b/>
        <vertAlign val="subscript"/>
        <sz val="11"/>
        <color theme="1"/>
        <rFont val="Times New Roman"/>
        <family val="1"/>
        <charset val="238"/>
      </rPr>
      <t>2</t>
    </r>
  </si>
  <si>
    <r>
      <t>V</t>
    </r>
    <r>
      <rPr>
        <b/>
        <vertAlign val="subscript"/>
        <sz val="11"/>
        <color theme="1"/>
        <rFont val="Times New Roman"/>
        <family val="1"/>
        <charset val="238"/>
      </rPr>
      <t>1</t>
    </r>
  </si>
  <si>
    <r>
      <t>V</t>
    </r>
    <r>
      <rPr>
        <b/>
        <vertAlign val="subscript"/>
        <sz val="11"/>
        <color theme="1"/>
        <rFont val="Times New Roman"/>
        <family val="1"/>
        <charset val="238"/>
      </rPr>
      <t>2</t>
    </r>
  </si>
  <si>
    <r>
      <t>D</t>
    </r>
    <r>
      <rPr>
        <b/>
        <vertAlign val="subscript"/>
        <sz val="11"/>
        <color theme="1"/>
        <rFont val="Times New Roman"/>
        <family val="1"/>
        <charset val="238"/>
      </rPr>
      <t>eq,1</t>
    </r>
  </si>
  <si>
    <r>
      <t>D</t>
    </r>
    <r>
      <rPr>
        <b/>
        <vertAlign val="subscript"/>
        <sz val="11"/>
        <color theme="1"/>
        <rFont val="Times New Roman"/>
        <family val="1"/>
        <charset val="238"/>
      </rPr>
      <t>N,1</t>
    </r>
  </si>
  <si>
    <r>
      <t>D</t>
    </r>
    <r>
      <rPr>
        <b/>
        <vertAlign val="subscript"/>
        <sz val="11"/>
        <color theme="1"/>
        <rFont val="Times New Roman"/>
        <family val="1"/>
        <charset val="238"/>
      </rPr>
      <t>eq,2</t>
    </r>
  </si>
  <si>
    <r>
      <t>D</t>
    </r>
    <r>
      <rPr>
        <b/>
        <vertAlign val="subscript"/>
        <sz val="11"/>
        <color theme="1"/>
        <rFont val="Times New Roman"/>
        <family val="1"/>
        <charset val="238"/>
      </rPr>
      <t>N,2</t>
    </r>
  </si>
  <si>
    <t>návrhová rychlost nákl. vlaků</t>
  </si>
  <si>
    <t>standardní hodnota nedostatku</t>
  </si>
  <si>
    <r>
      <t>I</t>
    </r>
    <r>
      <rPr>
        <b/>
        <vertAlign val="subscript"/>
        <sz val="11"/>
        <color theme="1"/>
        <rFont val="Times New Roman"/>
        <family val="1"/>
        <charset val="238"/>
      </rPr>
      <t>n</t>
    </r>
  </si>
  <si>
    <r>
      <t>E</t>
    </r>
    <r>
      <rPr>
        <b/>
        <vertAlign val="subscript"/>
        <sz val="11"/>
        <color theme="1"/>
        <rFont val="Times New Roman"/>
        <family val="1"/>
        <charset val="238"/>
      </rPr>
      <t>n</t>
    </r>
  </si>
  <si>
    <t>standardní hodnota přebytku</t>
  </si>
  <si>
    <t>Minimální délka přechodnice</t>
  </si>
  <si>
    <t>když to svítí žlutě, tak je to ještě v pohodě :D</t>
  </si>
  <si>
    <t>když to svítí oranžově, tak je to na píču, PŘEDĚLAT!</t>
  </si>
  <si>
    <t>když to svítí červeně, tak je to totálně na píču :D</t>
  </si>
  <si>
    <r>
      <t>D</t>
    </r>
    <r>
      <rPr>
        <b/>
        <vertAlign val="subscript"/>
        <sz val="11"/>
        <color theme="1"/>
        <rFont val="Times New Roman"/>
        <family val="1"/>
        <charset val="238"/>
      </rPr>
      <t>min</t>
    </r>
  </si>
  <si>
    <t>minimální hodnota převýšení</t>
  </si>
  <si>
    <t>zelené hodnoty zadávat</t>
  </si>
  <si>
    <t>inflexní řešení</t>
  </si>
  <si>
    <t>osová vzdálenost kolejí</t>
  </si>
  <si>
    <t>o</t>
  </si>
  <si>
    <r>
      <t>α</t>
    </r>
    <r>
      <rPr>
        <b/>
        <vertAlign val="subscript"/>
        <sz val="11"/>
        <color theme="1"/>
        <rFont val="Times New Roman"/>
        <family val="1"/>
        <charset val="238"/>
      </rPr>
      <t>s2</t>
    </r>
  </si>
  <si>
    <t>Δ</t>
  </si>
  <si>
    <t>vzdálenost Δ</t>
  </si>
  <si>
    <t>zadávat délku přechodnice</t>
  </si>
  <si>
    <t>délka druhé přechodnice</t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</si>
  <si>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k2</t>
    </r>
  </si>
  <si>
    <t>úhel</t>
  </si>
  <si>
    <t>úhel druhého oblouku</t>
  </si>
  <si>
    <t>úhel prvního oblouku</t>
  </si>
  <si>
    <t>úprava délky přechodnic</t>
  </si>
  <si>
    <r>
      <t>VB</t>
    </r>
    <r>
      <rPr>
        <b/>
        <vertAlign val="subscript"/>
        <sz val="11"/>
        <color theme="1"/>
        <rFont val="Times New Roman"/>
        <family val="1"/>
        <charset val="238"/>
      </rPr>
      <t>1</t>
    </r>
    <r>
      <rPr>
        <b/>
        <sz val="11"/>
        <color theme="1"/>
        <rFont val="Times New Roman"/>
        <family val="1"/>
        <charset val="238"/>
      </rPr>
      <t>VB</t>
    </r>
    <r>
      <rPr>
        <b/>
        <vertAlign val="sub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'</t>
    </r>
  </si>
  <si>
    <r>
      <t>T</t>
    </r>
    <r>
      <rPr>
        <b/>
        <vertAlign val="subscript"/>
        <sz val="11"/>
        <color theme="1"/>
        <rFont val="Times New Roman"/>
        <family val="1"/>
        <charset val="238"/>
      </rPr>
      <t>1,2 NESYM</t>
    </r>
  </si>
  <si>
    <r>
      <t>T</t>
    </r>
    <r>
      <rPr>
        <b/>
        <vertAlign val="subscript"/>
        <sz val="11"/>
        <color theme="1"/>
        <rFont val="Times New Roman"/>
        <family val="1"/>
        <charset val="238"/>
      </rPr>
      <t>2,1 NESYM</t>
    </r>
  </si>
  <si>
    <r>
      <t>m</t>
    </r>
    <r>
      <rPr>
        <b/>
        <vertAlign val="subscript"/>
        <sz val="11"/>
        <color theme="1"/>
        <rFont val="Times New Roman"/>
        <family val="1"/>
        <charset val="238"/>
      </rPr>
      <t>2</t>
    </r>
  </si>
  <si>
    <r>
      <t>X</t>
    </r>
    <r>
      <rPr>
        <b/>
        <vertAlign val="subscript"/>
        <sz val="11"/>
        <color theme="1"/>
        <rFont val="Times New Roman"/>
        <family val="1"/>
        <charset val="238"/>
      </rPr>
      <t>s2</t>
    </r>
  </si>
  <si>
    <r>
      <t>Y</t>
    </r>
    <r>
      <rPr>
        <b/>
        <vertAlign val="subscript"/>
        <sz val="11"/>
        <color theme="1"/>
        <rFont val="Times New Roman"/>
        <family val="1"/>
        <charset val="238"/>
      </rPr>
      <t>k2</t>
    </r>
  </si>
  <si>
    <r>
      <t>X</t>
    </r>
    <r>
      <rPr>
        <b/>
        <vertAlign val="subscript"/>
        <sz val="11"/>
        <color theme="1"/>
        <rFont val="Times New Roman"/>
        <family val="1"/>
        <charset val="238"/>
      </rPr>
      <t>k2</t>
    </r>
  </si>
  <si>
    <r>
      <t>τ</t>
    </r>
    <r>
      <rPr>
        <b/>
        <vertAlign val="subscript"/>
        <sz val="11"/>
        <color theme="1"/>
        <rFont val="Calibri"/>
        <family val="2"/>
        <charset val="238"/>
      </rPr>
      <t>k2</t>
    </r>
  </si>
  <si>
    <r>
      <t xml:space="preserve">délka mezipřímé </t>
    </r>
    <r>
      <rPr>
        <b/>
        <sz val="11"/>
        <color theme="1"/>
        <rFont val="Calibri"/>
        <family val="2"/>
        <charset val="238"/>
        <scheme val="minor"/>
      </rPr>
      <t>= 0</t>
    </r>
  </si>
  <si>
    <t>vzdálenost mezipřímé</t>
  </si>
  <si>
    <t>vzdálenost mezi oblouky kub.p.</t>
  </si>
  <si>
    <t>vzdálenost mezi oblouky klotoid</t>
  </si>
  <si>
    <t xml:space="preserve">odsazení </t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</si>
  <si>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k1,2</t>
    </r>
  </si>
  <si>
    <r>
      <t>τ</t>
    </r>
    <r>
      <rPr>
        <b/>
        <vertAlign val="subscript"/>
        <sz val="11"/>
        <color theme="1"/>
        <rFont val="Calibri"/>
        <family val="2"/>
        <charset val="238"/>
      </rPr>
      <t>K1,2</t>
    </r>
  </si>
  <si>
    <r>
      <t>X</t>
    </r>
    <r>
      <rPr>
        <b/>
        <vertAlign val="subscript"/>
        <sz val="11"/>
        <color theme="1"/>
        <rFont val="Times New Roman"/>
        <family val="1"/>
        <charset val="238"/>
      </rPr>
      <t>k1,2</t>
    </r>
  </si>
  <si>
    <r>
      <t>Y</t>
    </r>
    <r>
      <rPr>
        <b/>
        <vertAlign val="subscript"/>
        <sz val="11"/>
        <color theme="1"/>
        <rFont val="Times New Roman"/>
        <family val="1"/>
        <charset val="238"/>
      </rPr>
      <t>k1,2</t>
    </r>
  </si>
  <si>
    <r>
      <t>X</t>
    </r>
    <r>
      <rPr>
        <b/>
        <vertAlign val="subscript"/>
        <sz val="11"/>
        <color theme="1"/>
        <rFont val="Times New Roman"/>
        <family val="1"/>
        <charset val="238"/>
      </rPr>
      <t>s1,2</t>
    </r>
  </si>
  <si>
    <r>
      <t>m</t>
    </r>
    <r>
      <rPr>
        <b/>
        <vertAlign val="subscript"/>
        <sz val="11"/>
        <color theme="1"/>
        <rFont val="Times New Roman"/>
        <family val="1"/>
        <charset val="238"/>
      </rPr>
      <t>1,2</t>
    </r>
  </si>
  <si>
    <t>kružnicový oblouk č. 1 s klotoidou - nesymetrický motiv</t>
  </si>
  <si>
    <r>
      <t>α</t>
    </r>
    <r>
      <rPr>
        <b/>
        <vertAlign val="subscript"/>
        <sz val="11"/>
        <color theme="1"/>
        <rFont val="Times New Roman"/>
        <family val="1"/>
        <charset val="238"/>
      </rPr>
      <t>0,1</t>
    </r>
  </si>
  <si>
    <r>
      <t>d</t>
    </r>
    <r>
      <rPr>
        <b/>
        <vertAlign val="subscript"/>
        <sz val="11"/>
        <color theme="1"/>
        <rFont val="Times New Roman"/>
        <family val="1"/>
        <charset val="238"/>
      </rPr>
      <t>0,2</t>
    </r>
  </si>
  <si>
    <r>
      <t>O</t>
    </r>
    <r>
      <rPr>
        <b/>
        <vertAlign val="subscript"/>
        <sz val="11"/>
        <color theme="1"/>
        <rFont val="Times New Roman"/>
        <family val="1"/>
        <charset val="238"/>
      </rPr>
      <t>1</t>
    </r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</si>
  <si>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k1,1</t>
    </r>
  </si>
  <si>
    <r>
      <t>τ</t>
    </r>
    <r>
      <rPr>
        <b/>
        <vertAlign val="subscript"/>
        <sz val="11"/>
        <color theme="1"/>
        <rFont val="Times New Roman"/>
        <family val="1"/>
        <charset val="238"/>
      </rPr>
      <t>K1,1</t>
    </r>
  </si>
  <si>
    <r>
      <t>X</t>
    </r>
    <r>
      <rPr>
        <b/>
        <vertAlign val="subscript"/>
        <sz val="11"/>
        <color theme="1"/>
        <rFont val="Times New Roman"/>
        <family val="1"/>
        <charset val="238"/>
      </rPr>
      <t>k1,1</t>
    </r>
  </si>
  <si>
    <r>
      <t>Y</t>
    </r>
    <r>
      <rPr>
        <b/>
        <vertAlign val="subscript"/>
        <sz val="11"/>
        <color theme="1"/>
        <rFont val="Times New Roman"/>
        <family val="1"/>
        <charset val="238"/>
      </rPr>
      <t>k1,1</t>
    </r>
  </si>
  <si>
    <r>
      <t>X</t>
    </r>
    <r>
      <rPr>
        <b/>
        <vertAlign val="subscript"/>
        <sz val="11"/>
        <color theme="1"/>
        <rFont val="Times New Roman"/>
        <family val="1"/>
        <charset val="238"/>
      </rPr>
      <t>s1,1</t>
    </r>
  </si>
  <si>
    <r>
      <t>m</t>
    </r>
    <r>
      <rPr>
        <b/>
        <vertAlign val="subscript"/>
        <sz val="11"/>
        <color theme="1"/>
        <rFont val="Times New Roman"/>
        <family val="1"/>
        <charset val="238"/>
      </rPr>
      <t>1,1</t>
    </r>
  </si>
  <si>
    <r>
      <t>A</t>
    </r>
    <r>
      <rPr>
        <b/>
        <vertAlign val="subscript"/>
        <sz val="11"/>
        <color theme="1"/>
        <rFont val="Times New Roman"/>
        <family val="1"/>
        <charset val="238"/>
      </rPr>
      <t>1,1</t>
    </r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</si>
  <si>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k2,2</t>
    </r>
  </si>
  <si>
    <r>
      <t>τ</t>
    </r>
    <r>
      <rPr>
        <b/>
        <vertAlign val="subscript"/>
        <sz val="11"/>
        <color theme="1"/>
        <rFont val="Times New Roman"/>
        <family val="1"/>
        <charset val="238"/>
      </rPr>
      <t>K2,2</t>
    </r>
  </si>
  <si>
    <r>
      <t>X</t>
    </r>
    <r>
      <rPr>
        <b/>
        <vertAlign val="subscript"/>
        <sz val="11"/>
        <color theme="1"/>
        <rFont val="Times New Roman"/>
        <family val="1"/>
        <charset val="238"/>
      </rPr>
      <t>k2,2</t>
    </r>
  </si>
  <si>
    <r>
      <t>Y</t>
    </r>
    <r>
      <rPr>
        <b/>
        <vertAlign val="subscript"/>
        <sz val="11"/>
        <color theme="1"/>
        <rFont val="Times New Roman"/>
        <family val="1"/>
        <charset val="238"/>
      </rPr>
      <t>k2,2</t>
    </r>
  </si>
  <si>
    <r>
      <t>τ</t>
    </r>
    <r>
      <rPr>
        <b/>
        <vertAlign val="subscript"/>
        <sz val="11"/>
        <color theme="1"/>
        <rFont val="Times New Roman"/>
        <family val="1"/>
        <charset val="238"/>
      </rPr>
      <t>K1,2</t>
    </r>
  </si>
  <si>
    <r>
      <t>A</t>
    </r>
    <r>
      <rPr>
        <b/>
        <vertAlign val="subscript"/>
        <sz val="11"/>
        <color theme="1"/>
        <rFont val="Times New Roman"/>
        <family val="1"/>
        <charset val="238"/>
      </rPr>
      <t>1,2</t>
    </r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</si>
  <si>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k2,1</t>
    </r>
  </si>
  <si>
    <r>
      <t>τ</t>
    </r>
    <r>
      <rPr>
        <b/>
        <vertAlign val="subscript"/>
        <sz val="11"/>
        <color theme="1"/>
        <rFont val="Times New Roman"/>
        <family val="1"/>
        <charset val="238"/>
      </rPr>
      <t>K2,1</t>
    </r>
  </si>
  <si>
    <r>
      <t>X</t>
    </r>
    <r>
      <rPr>
        <b/>
        <vertAlign val="subscript"/>
        <sz val="11"/>
        <color theme="1"/>
        <rFont val="Times New Roman"/>
        <family val="1"/>
        <charset val="238"/>
      </rPr>
      <t>k2,1</t>
    </r>
  </si>
  <si>
    <r>
      <t>Y</t>
    </r>
    <r>
      <rPr>
        <b/>
        <vertAlign val="subscript"/>
        <sz val="11"/>
        <color theme="1"/>
        <rFont val="Times New Roman"/>
        <family val="1"/>
        <charset val="238"/>
      </rPr>
      <t>k2,1</t>
    </r>
  </si>
  <si>
    <r>
      <t>X</t>
    </r>
    <r>
      <rPr>
        <b/>
        <vertAlign val="subscript"/>
        <sz val="11"/>
        <color theme="1"/>
        <rFont val="Times New Roman"/>
        <family val="1"/>
        <charset val="238"/>
      </rPr>
      <t>s2,1</t>
    </r>
  </si>
  <si>
    <r>
      <t>m</t>
    </r>
    <r>
      <rPr>
        <b/>
        <vertAlign val="subscript"/>
        <sz val="11"/>
        <color theme="1"/>
        <rFont val="Times New Roman"/>
        <family val="1"/>
        <charset val="238"/>
      </rPr>
      <t>2,1</t>
    </r>
  </si>
  <si>
    <r>
      <t>X</t>
    </r>
    <r>
      <rPr>
        <b/>
        <vertAlign val="subscript"/>
        <sz val="11"/>
        <color theme="1"/>
        <rFont val="Times New Roman"/>
        <family val="1"/>
        <charset val="238"/>
      </rPr>
      <t>s2,2</t>
    </r>
  </si>
  <si>
    <r>
      <t>m</t>
    </r>
    <r>
      <rPr>
        <b/>
        <vertAlign val="subscript"/>
        <sz val="11"/>
        <color theme="1"/>
        <rFont val="Times New Roman"/>
        <family val="1"/>
        <charset val="238"/>
      </rPr>
      <t>2,2</t>
    </r>
  </si>
  <si>
    <r>
      <t>α</t>
    </r>
    <r>
      <rPr>
        <b/>
        <vertAlign val="subscript"/>
        <sz val="11"/>
        <color theme="1"/>
        <rFont val="Times New Roman"/>
        <family val="1"/>
        <charset val="238"/>
      </rPr>
      <t>0,2</t>
    </r>
  </si>
  <si>
    <r>
      <t>T</t>
    </r>
    <r>
      <rPr>
        <b/>
        <vertAlign val="subscript"/>
        <sz val="11"/>
        <color theme="1"/>
        <rFont val="Times New Roman"/>
        <family val="1"/>
        <charset val="238"/>
      </rPr>
      <t>2,2 NESYM</t>
    </r>
  </si>
  <si>
    <r>
      <t>d</t>
    </r>
    <r>
      <rPr>
        <b/>
        <vertAlign val="subscript"/>
        <sz val="11"/>
        <color theme="1"/>
        <rFont val="Times New Roman"/>
        <family val="1"/>
        <charset val="238"/>
      </rPr>
      <t>0,1</t>
    </r>
  </si>
  <si>
    <r>
      <t>O</t>
    </r>
    <r>
      <rPr>
        <b/>
        <vertAlign val="subscript"/>
        <sz val="11"/>
        <color theme="1"/>
        <rFont val="Times New Roman"/>
        <family val="1"/>
        <charset val="238"/>
      </rPr>
      <t>2</t>
    </r>
  </si>
  <si>
    <r>
      <t>A</t>
    </r>
    <r>
      <rPr>
        <b/>
        <vertAlign val="subscript"/>
        <sz val="11"/>
        <color theme="1"/>
        <rFont val="Times New Roman"/>
        <family val="1"/>
        <charset val="238"/>
      </rPr>
      <t>2,2</t>
    </r>
  </si>
  <si>
    <r>
      <t>A</t>
    </r>
    <r>
      <rPr>
        <b/>
        <vertAlign val="subscript"/>
        <sz val="11"/>
        <color theme="1"/>
        <rFont val="Times New Roman"/>
        <family val="1"/>
        <charset val="238"/>
      </rPr>
      <t>2,1</t>
    </r>
  </si>
  <si>
    <t>KP1=ZP2</t>
  </si>
  <si>
    <t>ZP2=KP1</t>
  </si>
  <si>
    <t>kružnicový oblouk č. 2 s klotoidou - nesymetrický motiv</t>
  </si>
  <si>
    <t>parametry oblouku č. 1</t>
  </si>
  <si>
    <t>parametry oblouku č. 2</t>
  </si>
  <si>
    <t>přechodnice č. 1,2</t>
  </si>
  <si>
    <t>přechodnice č. 1,1</t>
  </si>
  <si>
    <t>přechodnice č. 2,1</t>
  </si>
  <si>
    <t>přechodnice č. 2,2</t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</si>
  <si>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kub.p.</t>
    </r>
  </si>
  <si>
    <r>
      <t>L</t>
    </r>
    <r>
      <rPr>
        <b/>
        <vertAlign val="subscript"/>
        <sz val="11"/>
        <color theme="1"/>
        <rFont val="Times New Roman"/>
        <family val="1"/>
        <charset val="238"/>
      </rPr>
      <t>klot</t>
    </r>
  </si>
  <si>
    <t>poloměr oblouku č. 1</t>
  </si>
  <si>
    <t>odsazení m</t>
  </si>
  <si>
    <t>základní parametry - oblouk č. 1</t>
  </si>
  <si>
    <r>
      <t>T</t>
    </r>
    <r>
      <rPr>
        <b/>
        <vertAlign val="subscript"/>
        <sz val="11"/>
        <color theme="1"/>
        <rFont val="Times New Roman"/>
        <family val="1"/>
        <charset val="238"/>
      </rPr>
      <t>1,1 NESYM</t>
    </r>
  </si>
  <si>
    <t>základní parametry - oblouk č. 2</t>
  </si>
  <si>
    <t>karta data -&gt; citlivostní analýza -&gt; hledání řešení</t>
  </si>
  <si>
    <t>D80</t>
  </si>
  <si>
    <t>D70</t>
  </si>
  <si>
    <t>zdvoukolejnění - 2. traťová kolej</t>
  </si>
  <si>
    <t xml:space="preserve">Návrh vyšších rychlostí </t>
  </si>
  <si>
    <t>1. traťová kolej</t>
  </si>
  <si>
    <t>oblouk č. 1</t>
  </si>
  <si>
    <r>
      <t>V</t>
    </r>
    <r>
      <rPr>
        <b/>
        <vertAlign val="subscript"/>
        <sz val="11"/>
        <color theme="1"/>
        <rFont val="Times New Roman"/>
        <family val="1"/>
        <charset val="238"/>
      </rPr>
      <t>k</t>
    </r>
  </si>
  <si>
    <r>
      <t>I</t>
    </r>
    <r>
      <rPr>
        <b/>
        <vertAlign val="subscript"/>
        <sz val="11"/>
        <color theme="1"/>
        <rFont val="Times New Roman"/>
        <family val="1"/>
        <charset val="238"/>
      </rPr>
      <t>k</t>
    </r>
  </si>
  <si>
    <t>max. konstrukční rychlost</t>
  </si>
  <si>
    <t>V</t>
  </si>
  <si>
    <t>n</t>
  </si>
  <si>
    <r>
      <t>n</t>
    </r>
    <r>
      <rPr>
        <b/>
        <vertAlign val="subscript"/>
        <sz val="11"/>
        <color theme="1"/>
        <rFont val="Times New Roman"/>
        <family val="1"/>
        <charset val="238"/>
      </rPr>
      <t>130</t>
    </r>
  </si>
  <si>
    <r>
      <t>n</t>
    </r>
    <r>
      <rPr>
        <b/>
        <vertAlign val="subscript"/>
        <sz val="11"/>
        <color theme="1"/>
        <rFont val="Times New Roman"/>
        <family val="1"/>
        <charset val="238"/>
      </rPr>
      <t>150</t>
    </r>
  </si>
  <si>
    <r>
      <t>n</t>
    </r>
    <r>
      <rPr>
        <b/>
        <vertAlign val="subscript"/>
        <sz val="11"/>
        <color theme="1"/>
        <rFont val="Times New Roman"/>
        <family val="1"/>
        <charset val="238"/>
      </rPr>
      <t>k</t>
    </r>
  </si>
  <si>
    <t>strmost vzestupnice</t>
  </si>
  <si>
    <r>
      <t>V</t>
    </r>
    <r>
      <rPr>
        <b/>
        <vertAlign val="subscript"/>
        <sz val="11"/>
        <color theme="1"/>
        <rFont val="Times New Roman"/>
        <family val="1"/>
        <charset val="238"/>
      </rPr>
      <t>k,1,1</t>
    </r>
  </si>
  <si>
    <r>
      <t>n</t>
    </r>
    <r>
      <rPr>
        <b/>
        <vertAlign val="subscript"/>
        <sz val="11"/>
        <color theme="1"/>
        <rFont val="Times New Roman"/>
        <family val="1"/>
        <charset val="238"/>
      </rPr>
      <t>I</t>
    </r>
  </si>
  <si>
    <r>
      <t>n</t>
    </r>
    <r>
      <rPr>
        <b/>
        <vertAlign val="subscript"/>
        <sz val="11"/>
        <color theme="1"/>
        <rFont val="Times New Roman"/>
        <family val="1"/>
        <charset val="238"/>
      </rPr>
      <t>I,130</t>
    </r>
  </si>
  <si>
    <r>
      <t>n</t>
    </r>
    <r>
      <rPr>
        <b/>
        <vertAlign val="subscript"/>
        <sz val="11"/>
        <color theme="1"/>
        <rFont val="Times New Roman"/>
        <family val="1"/>
        <charset val="238"/>
      </rPr>
      <t>I,150</t>
    </r>
  </si>
  <si>
    <r>
      <t>n</t>
    </r>
    <r>
      <rPr>
        <b/>
        <vertAlign val="subscript"/>
        <sz val="11"/>
        <color theme="1"/>
        <rFont val="Times New Roman"/>
        <family val="1"/>
        <charset val="238"/>
      </rPr>
      <t>I,k</t>
    </r>
  </si>
  <si>
    <t>souč. změny nedostatku převýšení</t>
  </si>
  <si>
    <t>nesmí být menší než 8</t>
  </si>
  <si>
    <t>oblouk č. 2</t>
  </si>
  <si>
    <t>2. traťová kolej</t>
  </si>
  <si>
    <t>poloměr oblouku č. 2</t>
  </si>
  <si>
    <t>Navržené rychlosti</t>
  </si>
  <si>
    <t>Niveleta koleje</t>
  </si>
  <si>
    <t>Lom č. 1</t>
  </si>
  <si>
    <t>ZÚ</t>
  </si>
  <si>
    <t>výška</t>
  </si>
  <si>
    <t>Lom č.2</t>
  </si>
  <si>
    <t>L2</t>
  </si>
  <si>
    <t>poloměr zaoblení lomu</t>
  </si>
  <si>
    <t>Rv</t>
  </si>
  <si>
    <t>Lom č.3</t>
  </si>
  <si>
    <t>L3</t>
  </si>
  <si>
    <t>Lom č.4</t>
  </si>
  <si>
    <t>KÚ</t>
  </si>
  <si>
    <t xml:space="preserve">sklon </t>
  </si>
  <si>
    <t>s1</t>
  </si>
  <si>
    <t>|ZÚ;L2|</t>
  </si>
  <si>
    <t xml:space="preserve">rozdíl výšek </t>
  </si>
  <si>
    <t>|h1;h2|</t>
  </si>
  <si>
    <t>h1</t>
  </si>
  <si>
    <t>h2</t>
  </si>
  <si>
    <t>h3</t>
  </si>
  <si>
    <t>h4</t>
  </si>
  <si>
    <t>‰</t>
  </si>
  <si>
    <t xml:space="preserve"> ZÚ - L2</t>
  </si>
  <si>
    <t xml:space="preserve">vzdálenost </t>
  </si>
  <si>
    <t xml:space="preserve"> L2 - L3</t>
  </si>
  <si>
    <t>|L2;L3|</t>
  </si>
  <si>
    <t>|h2;h3|</t>
  </si>
  <si>
    <t>s2</t>
  </si>
  <si>
    <t xml:space="preserve"> L3 - KÚ</t>
  </si>
  <si>
    <t>|L3;KÚ|</t>
  </si>
  <si>
    <t>|h3;h4|</t>
  </si>
  <si>
    <t>s3</t>
  </si>
  <si>
    <t>Parametry lomů sklonu</t>
  </si>
  <si>
    <t>Lom č. 2</t>
  </si>
  <si>
    <t>tz</t>
  </si>
  <si>
    <t>nějaká tečna</t>
  </si>
  <si>
    <t>rozdíl sklonů</t>
  </si>
  <si>
    <t>|s1;s2|</t>
  </si>
  <si>
    <t>yv</t>
  </si>
  <si>
    <t>vzd. vrcholu paraboly k lomu</t>
  </si>
  <si>
    <t>x1</t>
  </si>
  <si>
    <t>x2</t>
  </si>
  <si>
    <t>kontrola</t>
  </si>
  <si>
    <t>2tz</t>
  </si>
  <si>
    <t>x1-x2</t>
  </si>
  <si>
    <t>2tz=x1-x2</t>
  </si>
  <si>
    <t>0,5*v^2</t>
  </si>
  <si>
    <t>maximální rychlost</t>
  </si>
  <si>
    <t>v</t>
  </si>
  <si>
    <t>Rv &gt;</t>
  </si>
  <si>
    <t>Lom č. 3</t>
  </si>
  <si>
    <t>Původní stav</t>
  </si>
  <si>
    <t>Po optimalizaci</t>
  </si>
  <si>
    <t>Výškové řešení</t>
  </si>
  <si>
    <t>Oblouk č.1</t>
  </si>
  <si>
    <t xml:space="preserve">maximální traťová rychlost </t>
  </si>
  <si>
    <t>vmax</t>
  </si>
  <si>
    <t>poloměr zaoblení lomu vzestupn.</t>
  </si>
  <si>
    <t>prostor kde nesmí být lom sklonu</t>
  </si>
  <si>
    <t xml:space="preserve">vzestupnice 1,1 </t>
  </si>
  <si>
    <t xml:space="preserve">vzestupnice 1,2 </t>
  </si>
  <si>
    <t>Oblouk č.2</t>
  </si>
  <si>
    <t>délka úseku - parabola</t>
  </si>
  <si>
    <t>délka úseku - po optimalizaci</t>
  </si>
  <si>
    <t>lom č1</t>
  </si>
  <si>
    <t>lom č. 2</t>
  </si>
  <si>
    <t>zp1</t>
  </si>
  <si>
    <t>zo1</t>
  </si>
  <si>
    <t>Ko1</t>
  </si>
  <si>
    <t>lom č. 3</t>
  </si>
  <si>
    <t>lom č. 4</t>
  </si>
  <si>
    <t>podjezd</t>
  </si>
  <si>
    <t>Lom č. 3 - nový</t>
  </si>
  <si>
    <t>kde může být</t>
  </si>
  <si>
    <t>rozdíl</t>
  </si>
  <si>
    <t>sklon</t>
  </si>
  <si>
    <t>vzd.  Od lomu č. 2</t>
  </si>
  <si>
    <t>Nadjezd</t>
  </si>
  <si>
    <t>rozdíl délek</t>
  </si>
  <si>
    <t>odsazení kvůli elektrifikaci</t>
  </si>
  <si>
    <t>Lom č. 4</t>
  </si>
  <si>
    <t>Tkub</t>
  </si>
  <si>
    <t>Tnesym inflex</t>
  </si>
  <si>
    <t>epsilon</t>
  </si>
  <si>
    <t>KP2 - KÚ</t>
  </si>
  <si>
    <t>VB2 - KÚ</t>
  </si>
  <si>
    <t>|VB1;Nadjezd|</t>
  </si>
  <si>
    <t>x</t>
  </si>
  <si>
    <t>vzd od lomu č. 3</t>
  </si>
  <si>
    <t>|h3;hn|</t>
  </si>
  <si>
    <t>Lom č. 5 - KÚ</t>
  </si>
  <si>
    <t>s4</t>
  </si>
  <si>
    <t>|h4;h5|</t>
  </si>
  <si>
    <t>h5</t>
  </si>
  <si>
    <t>L4</t>
  </si>
  <si>
    <t>nadjezd</t>
  </si>
  <si>
    <t>lom č. 5</t>
  </si>
  <si>
    <t>vzd od lomu č.4</t>
  </si>
  <si>
    <t>vzd od nadjezdu</t>
  </si>
  <si>
    <t>?</t>
  </si>
  <si>
    <t>lom č. 1</t>
  </si>
  <si>
    <t>x2-x1</t>
  </si>
  <si>
    <t>2tz=x1-x3</t>
  </si>
  <si>
    <t>|s2;s3|</t>
  </si>
  <si>
    <t>|s3;s4|</t>
  </si>
  <si>
    <t>poloměr)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</si>
</sst>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0"/>
    <numFmt numFmtId="166" formatCode="0.0000"/>
    <numFmt numFmtId="167" formatCode="0.00000"/>
    <numFmt numFmtId="168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vertAlign val="subscript"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vertAlign val="superscript"/>
      <sz val="11"/>
      <color theme="1"/>
      <name val="Times New Roman"/>
      <family val="1"/>
      <charset val="238"/>
    </font>
    <font>
      <b/>
      <sz val="11"/>
      <color theme="1"/>
      <name val="Century Gothic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Times New Roman"/>
      <family val="1"/>
      <charset val="238"/>
    </font>
    <font>
      <b/>
      <vertAlign val="subscript"/>
      <sz val="11"/>
      <color theme="0" tint="-0.34998626667073579"/>
      <name val="Times New Roman"/>
      <family val="1"/>
      <charset val="238"/>
    </font>
    <font>
      <b/>
      <sz val="11"/>
      <color theme="1"/>
      <name val="Consolas"/>
      <family val="3"/>
      <charset val="238"/>
    </font>
    <font>
      <sz val="11"/>
      <color theme="1"/>
      <name val="Calibri"/>
      <family val="2"/>
      <charset val="238"/>
    </font>
    <font>
      <sz val="10"/>
      <color theme="0" tint="-0.34998626667073579"/>
      <name val="Calibri"/>
      <family val="2"/>
      <charset val="238"/>
      <scheme val="minor"/>
    </font>
    <font>
      <vertAlign val="subscript"/>
      <sz val="10"/>
      <color theme="0" tint="-0.34998626667073579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</font>
    <font>
      <b/>
      <sz val="11"/>
      <name val="Century Gothic"/>
      <family val="2"/>
      <charset val="238"/>
    </font>
    <font>
      <b/>
      <sz val="11"/>
      <color rgb="FFFFCCCC"/>
      <name val="Century Gothic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entury Gothic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3" fillId="0" borderId="0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4" xfId="0" applyFill="1" applyBorder="1"/>
    <xf numFmtId="0" fontId="1" fillId="0" borderId="7" xfId="0" applyFont="1" applyFill="1" applyBorder="1" applyAlignment="1">
      <alignment horizontal="center"/>
    </xf>
    <xf numFmtId="0" fontId="8" fillId="0" borderId="4" xfId="0" applyFont="1" applyBorder="1"/>
    <xf numFmtId="0" fontId="9" fillId="0" borderId="0" xfId="0" applyFont="1" applyBorder="1" applyAlignment="1">
      <alignment horizontal="center"/>
    </xf>
    <xf numFmtId="0" fontId="8" fillId="0" borderId="5" xfId="0" applyFont="1" applyBorder="1"/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8" xfId="0" applyFill="1" applyBorder="1"/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2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164" fontId="0" fillId="8" borderId="7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3" fillId="0" borderId="0" xfId="0" applyFont="1"/>
    <xf numFmtId="0" fontId="18" fillId="0" borderId="0" xfId="0" applyFont="1"/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ill="1" applyBorder="1"/>
    <xf numFmtId="0" fontId="0" fillId="0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/>
    </xf>
    <xf numFmtId="167" fontId="0" fillId="0" borderId="0" xfId="0" applyNumberFormat="1"/>
    <xf numFmtId="165" fontId="0" fillId="0" borderId="0" xfId="0" applyNumberFormat="1"/>
    <xf numFmtId="0" fontId="12" fillId="0" borderId="0" xfId="0" applyFont="1"/>
    <xf numFmtId="165" fontId="0" fillId="0" borderId="0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3" fillId="0" borderId="0" xfId="0" applyFont="1" applyBorder="1" applyAlignment="1"/>
    <xf numFmtId="0" fontId="0" fillId="0" borderId="4" xfId="0" applyBorder="1" applyAlignment="1">
      <alignment horizontal="left"/>
    </xf>
    <xf numFmtId="1" fontId="0" fillId="0" borderId="2" xfId="0" applyNumberFormat="1" applyBorder="1" applyAlignment="1">
      <alignment horizontal="center"/>
    </xf>
    <xf numFmtId="164" fontId="0" fillId="0" borderId="0" xfId="0" applyNumberFormat="1" applyBorder="1"/>
    <xf numFmtId="0" fontId="0" fillId="10" borderId="0" xfId="0" applyFill="1" applyBorder="1"/>
    <xf numFmtId="165" fontId="19" fillId="0" borderId="0" xfId="0" applyNumberFormat="1" applyFont="1"/>
    <xf numFmtId="165" fontId="19" fillId="0" borderId="0" xfId="0" applyNumberFormat="1" applyFont="1" applyFill="1" applyBorder="1" applyAlignment="1">
      <alignment horizontal="center"/>
    </xf>
    <xf numFmtId="0" fontId="19" fillId="0" borderId="0" xfId="0" applyFont="1" applyBorder="1"/>
    <xf numFmtId="165" fontId="19" fillId="0" borderId="7" xfId="0" applyNumberFormat="1" applyFont="1" applyBorder="1"/>
    <xf numFmtId="167" fontId="0" fillId="0" borderId="0" xfId="0" applyNumberFormat="1" applyBorder="1"/>
    <xf numFmtId="165" fontId="19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0" fillId="2" borderId="0" xfId="0" applyNumberFormat="1" applyFill="1"/>
    <xf numFmtId="164" fontId="20" fillId="0" borderId="0" xfId="0" applyNumberFormat="1" applyFont="1"/>
    <xf numFmtId="0" fontId="20" fillId="0" borderId="0" xfId="0" applyFont="1" applyFill="1" applyBorder="1" applyAlignment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0" fillId="0" borderId="0" xfId="0" applyNumberForma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center"/>
    </xf>
    <xf numFmtId="0" fontId="17" fillId="9" borderId="1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6" fillId="9" borderId="10" xfId="0" applyFont="1" applyFill="1" applyBorder="1" applyAlignment="1">
      <alignment horizontal="center"/>
    </xf>
    <xf numFmtId="0" fontId="16" fillId="9" borderId="11" xfId="0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6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6" fillId="4" borderId="9" xfId="0" applyFont="1" applyFill="1" applyBorder="1" applyAlignment="1">
      <alignment horizontal="center" wrapText="1"/>
    </xf>
    <xf numFmtId="0" fontId="16" fillId="4" borderId="10" xfId="0" applyFont="1" applyFill="1" applyBorder="1" applyAlignment="1">
      <alignment horizontal="center" wrapText="1"/>
    </xf>
    <xf numFmtId="0" fontId="16" fillId="4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ální" xfId="0" builtinId="0"/>
  </cellStyles>
  <dxfs count="34">
    <dxf>
      <fill>
        <patternFill>
          <bgColor rgb="FFFF5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5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5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5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5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5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b val="0"/>
        <i val="0"/>
      </font>
      <fill>
        <patternFill>
          <bgColor rgb="FFFF5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CCFF66"/>
      <color rgb="FF00FF00"/>
      <color rgb="FFFF9999"/>
      <color rgb="FFFFCCCC"/>
      <color rgb="FFFF99CC"/>
      <color rgb="FFFF5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(List1!$I$319,List1!$I$322,List1!$I$325,List1!$I$328,List1!$I$331)</c:f>
              <c:numCache>
                <c:formatCode>0.000000</c:formatCode>
                <c:ptCount val="5"/>
                <c:pt idx="0">
                  <c:v>121.3</c:v>
                </c:pt>
                <c:pt idx="1">
                  <c:v>121.382907</c:v>
                </c:pt>
                <c:pt idx="2">
                  <c:v>121.67319867520678</c:v>
                </c:pt>
                <c:pt idx="3">
                  <c:v>122.08514082346687</c:v>
                </c:pt>
                <c:pt idx="4">
                  <c:v>122.40161634502573</c:v>
                </c:pt>
              </c:numCache>
            </c:numRef>
          </c:xVal>
          <c:yVal>
            <c:numRef>
              <c:f>(List1!$K$319,List1!$K$322,List1!$K$325,List1!$K$328,List1!$K$331)</c:f>
              <c:numCache>
                <c:formatCode>General</c:formatCode>
                <c:ptCount val="5"/>
                <c:pt idx="0">
                  <c:v>365.10399999999998</c:v>
                </c:pt>
                <c:pt idx="1">
                  <c:v>364.584</c:v>
                </c:pt>
                <c:pt idx="2" formatCode="0.000">
                  <c:v>362.5</c:v>
                </c:pt>
                <c:pt idx="3" formatCode="0.000">
                  <c:v>361.59736651340074</c:v>
                </c:pt>
                <c:pt idx="4">
                  <c:v>359.96199999999999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4E-4678-BB39-A9E717C07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80640"/>
        <c:axId val="66881216"/>
      </c:scatterChart>
      <c:valAx>
        <c:axId val="6688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881216"/>
        <c:crosses val="autoZero"/>
        <c:crossBetween val="midCat"/>
      </c:valAx>
      <c:valAx>
        <c:axId val="668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880640"/>
        <c:crossesAt val="121.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765451</xdr:colOff>
      <xdr:row>316</xdr:row>
      <xdr:rowOff>148328</xdr:rowOff>
    </xdr:from>
    <xdr:to>
      <xdr:col>17</xdr:col>
      <xdr:colOff>958988</xdr:colOff>
      <xdr:row>331</xdr:row>
      <xdr:rowOff>35201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65"/>
  <sheetViews>
    <sheetView tabSelected="1" topLeftCell="A219" zoomScale="85" zoomScaleNormal="85" workbookViewId="0">
      <selection activeCell="V232" sqref="V232"/>
    </sheetView>
  </sheetViews>
  <sheetFormatPr defaultRowHeight="15" x14ac:dyDescent="0.25"/>
  <cols>
    <col min="1" max="1" width="5.28515625" customWidth="1"/>
    <col min="2" max="2" width="31.140625" customWidth="1"/>
    <col min="3" max="3" width="9.5703125" customWidth="1"/>
    <col min="4" max="4" width="13.5703125" customWidth="1"/>
    <col min="5" max="5" width="6.7109375" customWidth="1"/>
    <col min="6" max="6" width="3.85546875" customWidth="1"/>
    <col min="7" max="7" width="31.140625" customWidth="1"/>
    <col min="8" max="8" width="10" customWidth="1"/>
    <col min="9" max="9" width="12.5703125" customWidth="1"/>
    <col min="10" max="10" width="6.5703125" customWidth="1"/>
    <col min="11" max="11" width="14.5703125" customWidth="1"/>
    <col min="12" max="12" width="5.5703125" customWidth="1"/>
    <col min="13" max="13" width="31.140625" customWidth="1"/>
    <col min="14" max="14" width="9.7109375" customWidth="1"/>
    <col min="15" max="15" width="13" customWidth="1"/>
    <col min="17" max="17" width="3.28515625" customWidth="1"/>
    <col min="18" max="18" width="31.85546875" customWidth="1"/>
    <col min="20" max="20" width="12.85546875" customWidth="1"/>
    <col min="22" max="22" width="13.42578125" customWidth="1"/>
  </cols>
  <sheetData>
    <row r="2" spans="2:23" x14ac:dyDescent="0.25">
      <c r="B2" s="166" t="s">
        <v>124</v>
      </c>
      <c r="C2" s="166"/>
      <c r="D2" s="166"/>
      <c r="E2" s="166"/>
      <c r="G2" s="168" t="s">
        <v>119</v>
      </c>
      <c r="H2" s="168"/>
      <c r="I2" s="168"/>
      <c r="J2" s="168"/>
    </row>
    <row r="3" spans="2:23" ht="15" customHeight="1" x14ac:dyDescent="0.25">
      <c r="B3" s="167" t="s">
        <v>83</v>
      </c>
      <c r="C3" s="167"/>
      <c r="D3" s="167"/>
      <c r="E3" s="167"/>
      <c r="G3" s="169" t="s">
        <v>120</v>
      </c>
      <c r="H3" s="169"/>
      <c r="I3" s="169"/>
      <c r="J3" s="169"/>
    </row>
    <row r="4" spans="2:23" x14ac:dyDescent="0.25">
      <c r="B4" s="167"/>
      <c r="C4" s="167"/>
      <c r="D4" s="167"/>
      <c r="E4" s="167"/>
      <c r="G4" s="170" t="s">
        <v>121</v>
      </c>
      <c r="H4" s="170"/>
      <c r="I4" s="170"/>
      <c r="J4" s="170"/>
    </row>
    <row r="5" spans="2:23" ht="15.75" thickBot="1" x14ac:dyDescent="0.3">
      <c r="B5" s="41"/>
      <c r="C5" s="41"/>
      <c r="D5" s="41"/>
      <c r="E5" s="41"/>
    </row>
    <row r="6" spans="2:23" ht="15.75" thickBot="1" x14ac:dyDescent="0.3">
      <c r="B6" s="161" t="s">
        <v>100</v>
      </c>
      <c r="C6" s="162"/>
      <c r="D6" s="162"/>
      <c r="E6" s="162"/>
      <c r="F6" s="162"/>
      <c r="G6" s="162"/>
      <c r="H6" s="162"/>
      <c r="I6" s="162"/>
      <c r="J6" s="162"/>
      <c r="K6" s="163"/>
      <c r="M6" s="161" t="s">
        <v>101</v>
      </c>
      <c r="N6" s="162"/>
      <c r="O6" s="162"/>
      <c r="P6" s="162"/>
      <c r="Q6" s="162"/>
      <c r="R6" s="162"/>
      <c r="S6" s="162"/>
      <c r="T6" s="162"/>
      <c r="U6" s="162"/>
      <c r="V6" s="163"/>
    </row>
    <row r="7" spans="2:23" ht="15.75" thickBot="1" x14ac:dyDescent="0.3"/>
    <row r="8" spans="2:23" ht="15.75" thickBot="1" x14ac:dyDescent="0.3">
      <c r="B8" s="139" t="s">
        <v>78</v>
      </c>
      <c r="C8" s="140"/>
      <c r="D8" s="140"/>
      <c r="E8" s="141"/>
      <c r="G8" s="130" t="s">
        <v>98</v>
      </c>
      <c r="H8" s="131"/>
      <c r="I8" s="131"/>
      <c r="J8" s="131"/>
      <c r="K8" s="132"/>
      <c r="M8" s="139" t="s">
        <v>78</v>
      </c>
      <c r="N8" s="140"/>
      <c r="O8" s="140"/>
      <c r="P8" s="141"/>
      <c r="R8" s="130" t="s">
        <v>98</v>
      </c>
      <c r="S8" s="131"/>
      <c r="T8" s="131"/>
      <c r="U8" s="131"/>
      <c r="V8" s="132"/>
    </row>
    <row r="9" spans="2:23" ht="17.25" x14ac:dyDescent="0.3">
      <c r="B9" s="14" t="s">
        <v>0</v>
      </c>
      <c r="C9" s="15" t="s">
        <v>107</v>
      </c>
      <c r="D9" s="22">
        <v>120</v>
      </c>
      <c r="E9" s="17" t="s">
        <v>3</v>
      </c>
      <c r="G9" s="14" t="s">
        <v>99</v>
      </c>
      <c r="H9" s="160" t="str">
        <f>IF(D11&lt;275,"rozšířit rozchod koleje","bez rozšíření rozchodu koleje")</f>
        <v>bez rozšíření rozchodu koleje</v>
      </c>
      <c r="I9" s="160"/>
      <c r="J9" s="160"/>
      <c r="K9" s="17"/>
      <c r="M9" s="14" t="s">
        <v>0</v>
      </c>
      <c r="N9" s="15" t="s">
        <v>107</v>
      </c>
      <c r="O9" s="22">
        <v>120</v>
      </c>
      <c r="P9" s="17" t="s">
        <v>3</v>
      </c>
      <c r="R9" s="14" t="s">
        <v>99</v>
      </c>
      <c r="S9" s="160" t="str">
        <f>IF(O11&lt;275,"rozšířit rozchod koleje","bez rozšíření rozchodu koleje")</f>
        <v>bez rozšíření rozchodu koleje</v>
      </c>
      <c r="T9" s="160"/>
      <c r="U9" s="160"/>
      <c r="V9" s="17"/>
    </row>
    <row r="10" spans="2:23" ht="17.25" x14ac:dyDescent="0.3">
      <c r="B10" s="6" t="s">
        <v>113</v>
      </c>
      <c r="C10" s="7" t="s">
        <v>108</v>
      </c>
      <c r="D10" s="47">
        <f>D9-40</f>
        <v>80</v>
      </c>
      <c r="E10" s="8" t="s">
        <v>3</v>
      </c>
      <c r="G10" s="6" t="s">
        <v>123</v>
      </c>
      <c r="H10" s="7" t="s">
        <v>122</v>
      </c>
      <c r="I10" s="9">
        <v>20</v>
      </c>
      <c r="J10" s="50" t="s">
        <v>5</v>
      </c>
      <c r="K10" s="43" t="str">
        <f>IF(D16&lt;I10,"NEVYHOVUJE","vyhovuje")</f>
        <v>vyhovuje</v>
      </c>
      <c r="M10" s="6" t="s">
        <v>113</v>
      </c>
      <c r="N10" s="7" t="s">
        <v>108</v>
      </c>
      <c r="O10" s="47">
        <f>O9-40</f>
        <v>80</v>
      </c>
      <c r="P10" s="8" t="s">
        <v>3</v>
      </c>
      <c r="R10" s="6" t="s">
        <v>123</v>
      </c>
      <c r="S10" s="7" t="s">
        <v>122</v>
      </c>
      <c r="T10" s="9">
        <v>20</v>
      </c>
      <c r="U10" s="50" t="s">
        <v>5</v>
      </c>
      <c r="V10" s="43" t="str">
        <f>IF(O16&lt;T10,"NEVYHOVUJE","vyhovuje")</f>
        <v>vyhovuje</v>
      </c>
    </row>
    <row r="11" spans="2:23" ht="17.25" x14ac:dyDescent="0.3">
      <c r="B11" s="6" t="s">
        <v>1</v>
      </c>
      <c r="C11" s="7" t="s">
        <v>2</v>
      </c>
      <c r="D11" s="39">
        <v>701</v>
      </c>
      <c r="E11" s="8" t="s">
        <v>4</v>
      </c>
      <c r="G11" s="6" t="s">
        <v>87</v>
      </c>
      <c r="H11" s="7" t="s">
        <v>63</v>
      </c>
      <c r="I11" s="9">
        <v>150</v>
      </c>
      <c r="J11" s="10" t="s">
        <v>5</v>
      </c>
      <c r="K11" s="43" t="str">
        <f>IF(D16&gt;I11,"NEVYHOVUJE","vyhovuje")</f>
        <v>vyhovuje</v>
      </c>
      <c r="M11" s="6" t="s">
        <v>1</v>
      </c>
      <c r="N11" s="7" t="s">
        <v>2</v>
      </c>
      <c r="O11" s="39">
        <v>1287</v>
      </c>
      <c r="P11" s="8" t="s">
        <v>4</v>
      </c>
      <c r="R11" s="6" t="s">
        <v>87</v>
      </c>
      <c r="S11" s="7" t="s">
        <v>63</v>
      </c>
      <c r="T11" s="9">
        <v>150</v>
      </c>
      <c r="U11" s="10" t="s">
        <v>5</v>
      </c>
      <c r="V11" s="43" t="str">
        <f>IF(O16&gt;T11,"NEVYHOVUJE","vyhovuje")</f>
        <v>vyhovuje</v>
      </c>
    </row>
    <row r="12" spans="2:23" ht="17.25" x14ac:dyDescent="0.3">
      <c r="B12" s="6" t="s">
        <v>8</v>
      </c>
      <c r="C12" s="7" t="s">
        <v>109</v>
      </c>
      <c r="D12" s="9">
        <f>ROUND((11.8*D9^2)/D11,1)</f>
        <v>242.4</v>
      </c>
      <c r="E12" s="8" t="s">
        <v>5</v>
      </c>
      <c r="G12" s="6" t="s">
        <v>88</v>
      </c>
      <c r="H12" s="7" t="s">
        <v>64</v>
      </c>
      <c r="I12" s="9">
        <v>160</v>
      </c>
      <c r="J12" s="10" t="s">
        <v>5</v>
      </c>
      <c r="K12" s="43" t="str">
        <f>IF(D16&gt;I12,"NEVYHOVUJE","vyhovuje")</f>
        <v>vyhovuje</v>
      </c>
      <c r="M12" s="6" t="s">
        <v>8</v>
      </c>
      <c r="N12" s="7" t="s">
        <v>12</v>
      </c>
      <c r="O12" s="9">
        <f>ROUND((11.8*O9^2)/O11,1)</f>
        <v>132</v>
      </c>
      <c r="P12" s="8" t="s">
        <v>5</v>
      </c>
      <c r="R12" s="6" t="s">
        <v>88</v>
      </c>
      <c r="S12" s="7" t="s">
        <v>64</v>
      </c>
      <c r="T12" s="9">
        <v>160</v>
      </c>
      <c r="U12" s="10" t="s">
        <v>5</v>
      </c>
      <c r="V12" s="43" t="str">
        <f>IF(O16&gt;T12,"NEVYHOVUJE","vyhovuje")</f>
        <v>vyhovuje</v>
      </c>
    </row>
    <row r="13" spans="2:23" ht="17.25" x14ac:dyDescent="0.3">
      <c r="B13" s="6" t="s">
        <v>9</v>
      </c>
      <c r="C13" s="7" t="s">
        <v>110</v>
      </c>
      <c r="D13" s="9">
        <f>ROUND((7.1*D9^2)/D11,0)</f>
        <v>146</v>
      </c>
      <c r="E13" s="8" t="s">
        <v>5</v>
      </c>
      <c r="G13" s="6" t="s">
        <v>114</v>
      </c>
      <c r="H13" s="7" t="s">
        <v>115</v>
      </c>
      <c r="I13" s="1">
        <v>80</v>
      </c>
      <c r="J13" t="s">
        <v>5</v>
      </c>
      <c r="K13" s="43" t="str">
        <f>IF(D17&gt;I13,"NEVYHOVUJE","vyhovuje")</f>
        <v>NEVYHOVUJE</v>
      </c>
      <c r="M13" s="6" t="s">
        <v>9</v>
      </c>
      <c r="N13" s="7" t="s">
        <v>13</v>
      </c>
      <c r="O13" s="9">
        <f>ROUND((7.1*O9^2)/O11,0)</f>
        <v>79</v>
      </c>
      <c r="P13" s="8" t="s">
        <v>5</v>
      </c>
      <c r="R13" s="6" t="s">
        <v>114</v>
      </c>
      <c r="S13" s="7" t="s">
        <v>115</v>
      </c>
      <c r="T13" s="1">
        <v>80</v>
      </c>
      <c r="U13" t="s">
        <v>5</v>
      </c>
      <c r="V13" s="43" t="str">
        <f>IF(O17&gt;T13,"NEVYHOVUJE","vyhovuje")</f>
        <v>vyhovuje</v>
      </c>
    </row>
    <row r="14" spans="2:23" ht="17.25" x14ac:dyDescent="0.3">
      <c r="B14" s="6" t="s">
        <v>8</v>
      </c>
      <c r="C14" s="7" t="s">
        <v>111</v>
      </c>
      <c r="D14" s="9">
        <f>ROUND(11.8*D10^2/D11,1)</f>
        <v>107.7</v>
      </c>
      <c r="E14" s="8" t="s">
        <v>5</v>
      </c>
      <c r="G14" s="6" t="s">
        <v>89</v>
      </c>
      <c r="H14" s="7" t="s">
        <v>65</v>
      </c>
      <c r="I14" s="9">
        <v>100</v>
      </c>
      <c r="J14" s="10" t="s">
        <v>5</v>
      </c>
      <c r="K14" s="43" t="str">
        <f>IF(D17&gt;I14,"NEVYHOVUJE","vyhovuje")</f>
        <v>vyhovuje</v>
      </c>
      <c r="M14" s="6" t="s">
        <v>8</v>
      </c>
      <c r="N14" s="7" t="s">
        <v>111</v>
      </c>
      <c r="O14" s="9">
        <f>ROUND(11.8*O10^2/O11,1)</f>
        <v>58.7</v>
      </c>
      <c r="P14" s="8" t="s">
        <v>5</v>
      </c>
      <c r="R14" s="6" t="s">
        <v>89</v>
      </c>
      <c r="S14" s="7" t="s">
        <v>65</v>
      </c>
      <c r="T14" s="9">
        <v>100</v>
      </c>
      <c r="U14" s="10" t="s">
        <v>5</v>
      </c>
      <c r="V14" s="43" t="str">
        <f>IF(O17&gt;T14,"NEVYHOVUJE","vyhovuje")</f>
        <v>vyhovuje</v>
      </c>
    </row>
    <row r="15" spans="2:23" ht="17.25" x14ac:dyDescent="0.3">
      <c r="B15" s="6" t="s">
        <v>9</v>
      </c>
      <c r="C15" s="7" t="s">
        <v>112</v>
      </c>
      <c r="D15" s="9">
        <f>ROUND(7.1*D10^2/D11,0)</f>
        <v>65</v>
      </c>
      <c r="E15" s="8" t="s">
        <v>5</v>
      </c>
      <c r="G15" s="6" t="s">
        <v>90</v>
      </c>
      <c r="H15" s="7" t="s">
        <v>66</v>
      </c>
      <c r="I15" s="9">
        <v>130</v>
      </c>
      <c r="J15" s="10" t="s">
        <v>5</v>
      </c>
      <c r="K15" s="43" t="str">
        <f>IF(D17&gt;I15,"NEVYHOVUJE","vyhovuje")</f>
        <v>vyhovuje</v>
      </c>
      <c r="M15" s="6" t="s">
        <v>9</v>
      </c>
      <c r="N15" s="7" t="s">
        <v>112</v>
      </c>
      <c r="O15" s="9">
        <f>ROUND(7.1*O10^2/O11,0)</f>
        <v>35</v>
      </c>
      <c r="P15" s="8" t="s">
        <v>5</v>
      </c>
      <c r="R15" s="6" t="s">
        <v>90</v>
      </c>
      <c r="S15" s="7" t="s">
        <v>66</v>
      </c>
      <c r="T15" s="9">
        <v>130</v>
      </c>
      <c r="U15" s="10" t="s">
        <v>5</v>
      </c>
      <c r="V15" s="43" t="str">
        <f>IF(O17&gt;T15,"NEVYHOVUJE","vyhovuje")</f>
        <v>vyhovuje</v>
      </c>
    </row>
    <row r="16" spans="2:23" ht="17.25" x14ac:dyDescent="0.3">
      <c r="B16" s="6" t="s">
        <v>20</v>
      </c>
      <c r="C16" s="7" t="s">
        <v>21</v>
      </c>
      <c r="D16" s="39">
        <v>150</v>
      </c>
      <c r="E16" s="8" t="s">
        <v>5</v>
      </c>
      <c r="G16" s="6" t="s">
        <v>117</v>
      </c>
      <c r="H16" s="7" t="s">
        <v>116</v>
      </c>
      <c r="I16" s="47">
        <v>50</v>
      </c>
      <c r="J16" s="48" t="s">
        <v>5</v>
      </c>
      <c r="K16" s="1" t="str">
        <f>IF(D18&gt;I16,"NEVYHOVUJE","vyhovuje")</f>
        <v>vyhovuje</v>
      </c>
      <c r="L16" s="49"/>
      <c r="M16" s="6" t="s">
        <v>20</v>
      </c>
      <c r="N16" s="7" t="s">
        <v>21</v>
      </c>
      <c r="O16" s="39">
        <v>80</v>
      </c>
      <c r="P16" s="8" t="s">
        <v>5</v>
      </c>
      <c r="R16" s="6" t="s">
        <v>117</v>
      </c>
      <c r="S16" s="7" t="s">
        <v>116</v>
      </c>
      <c r="T16" s="47">
        <v>50</v>
      </c>
      <c r="U16" s="48" t="s">
        <v>5</v>
      </c>
      <c r="V16" s="1" t="str">
        <f>IF(O18&gt;T16,"NEVYHOVUJE","vyhovuje")</f>
        <v>vyhovuje</v>
      </c>
      <c r="W16" s="6"/>
    </row>
    <row r="17" spans="2:22" ht="17.25" x14ac:dyDescent="0.3">
      <c r="B17" s="6" t="s">
        <v>10</v>
      </c>
      <c r="C17" s="7" t="s">
        <v>6</v>
      </c>
      <c r="D17" s="9">
        <f>CEILING(D12-D16,1)</f>
        <v>93</v>
      </c>
      <c r="E17" s="8" t="s">
        <v>5</v>
      </c>
      <c r="G17" s="6" t="s">
        <v>91</v>
      </c>
      <c r="H17" s="7" t="s">
        <v>67</v>
      </c>
      <c r="I17" s="9">
        <v>80</v>
      </c>
      <c r="J17" s="10" t="s">
        <v>5</v>
      </c>
      <c r="K17" s="43" t="str">
        <f>IF(D18&gt;I17,"NEVYHOVUJE","vyhovuje")</f>
        <v>vyhovuje</v>
      </c>
      <c r="M17" s="6" t="s">
        <v>10</v>
      </c>
      <c r="N17" s="7" t="s">
        <v>6</v>
      </c>
      <c r="O17" s="9">
        <f>CEILING(O12-O16,1)</f>
        <v>52</v>
      </c>
      <c r="P17" s="8" t="s">
        <v>5</v>
      </c>
      <c r="R17" s="6" t="s">
        <v>91</v>
      </c>
      <c r="S17" s="7" t="s">
        <v>67</v>
      </c>
      <c r="T17" s="9">
        <v>80</v>
      </c>
      <c r="U17" s="10" t="s">
        <v>5</v>
      </c>
      <c r="V17" s="43" t="str">
        <f>IF(O18&gt;T17,"NEVYHOVUJE","vyhovuje")</f>
        <v>vyhovuje</v>
      </c>
    </row>
    <row r="18" spans="2:22" ht="17.25" x14ac:dyDescent="0.3">
      <c r="B18" s="6" t="s">
        <v>11</v>
      </c>
      <c r="C18" s="7" t="s">
        <v>7</v>
      </c>
      <c r="D18" s="9">
        <f>CEILING(D16-D14,1)</f>
        <v>43</v>
      </c>
      <c r="E18" s="8" t="s">
        <v>5</v>
      </c>
      <c r="G18" s="6" t="s">
        <v>92</v>
      </c>
      <c r="H18" s="7" t="s">
        <v>68</v>
      </c>
      <c r="I18" s="9">
        <v>110</v>
      </c>
      <c r="J18" s="10" t="s">
        <v>5</v>
      </c>
      <c r="K18" s="43" t="str">
        <f>IF(D18&gt;I18,"NEVYHOVUJE","vyhovuje")</f>
        <v>vyhovuje</v>
      </c>
      <c r="M18" s="6" t="s">
        <v>11</v>
      </c>
      <c r="N18" s="7" t="s">
        <v>7</v>
      </c>
      <c r="O18" s="9">
        <f>CEILING(O16-O14,1)</f>
        <v>22</v>
      </c>
      <c r="P18" s="8" t="s">
        <v>5</v>
      </c>
      <c r="R18" s="6" t="s">
        <v>92</v>
      </c>
      <c r="S18" s="7" t="s">
        <v>68</v>
      </c>
      <c r="T18" s="9">
        <v>110</v>
      </c>
      <c r="U18" s="10" t="s">
        <v>5</v>
      </c>
      <c r="V18" s="43" t="str">
        <f>IF(O18&gt;T18,"NEVYHOVUJE","vyhovuje")</f>
        <v>vyhovuje</v>
      </c>
    </row>
    <row r="19" spans="2:22" ht="17.25" x14ac:dyDescent="0.3">
      <c r="B19" s="6" t="s">
        <v>17</v>
      </c>
      <c r="C19" s="7" t="s">
        <v>14</v>
      </c>
      <c r="D19" s="40">
        <f>ROUND((10*D9*D17)/1000,3)</f>
        <v>111.6</v>
      </c>
      <c r="E19" s="8" t="s">
        <v>4</v>
      </c>
      <c r="G19" s="6" t="s">
        <v>93</v>
      </c>
      <c r="H19" s="7" t="s">
        <v>94</v>
      </c>
      <c r="I19" s="9">
        <f>0.2*D9</f>
        <v>24</v>
      </c>
      <c r="J19" s="10" t="s">
        <v>4</v>
      </c>
      <c r="K19" s="8"/>
      <c r="M19" s="6" t="s">
        <v>17</v>
      </c>
      <c r="N19" s="7" t="s">
        <v>14</v>
      </c>
      <c r="O19" s="40">
        <f>ROUND((10*O9*O17)/1000,3)</f>
        <v>62.4</v>
      </c>
      <c r="P19" s="8" t="s">
        <v>4</v>
      </c>
      <c r="R19" s="6" t="s">
        <v>93</v>
      </c>
      <c r="S19" s="7" t="s">
        <v>94</v>
      </c>
      <c r="T19" s="9">
        <f>0.2*O9</f>
        <v>24</v>
      </c>
      <c r="U19" s="10" t="s">
        <v>4</v>
      </c>
      <c r="V19" s="8"/>
    </row>
    <row r="20" spans="2:22" ht="18" thickBot="1" x14ac:dyDescent="0.35">
      <c r="B20" s="6" t="s">
        <v>118</v>
      </c>
      <c r="C20" s="7" t="s">
        <v>15</v>
      </c>
      <c r="D20" s="40">
        <f>0.7*SQRT(D11)</f>
        <v>18.533483212823217</v>
      </c>
      <c r="E20" s="8" t="s">
        <v>4</v>
      </c>
      <c r="G20" s="11" t="s">
        <v>95</v>
      </c>
      <c r="H20" s="38" t="s">
        <v>96</v>
      </c>
      <c r="I20" s="18">
        <v>20</v>
      </c>
      <c r="J20" s="12" t="s">
        <v>4</v>
      </c>
      <c r="K20" s="13"/>
      <c r="M20" s="6" t="s">
        <v>118</v>
      </c>
      <c r="N20" s="7" t="s">
        <v>15</v>
      </c>
      <c r="O20" s="40">
        <f>0.7*SQRT(O11)</f>
        <v>25.112347560512934</v>
      </c>
      <c r="P20" s="8" t="s">
        <v>4</v>
      </c>
      <c r="R20" s="11" t="s">
        <v>95</v>
      </c>
      <c r="S20" s="38" t="s">
        <v>96</v>
      </c>
      <c r="T20" s="18">
        <v>20</v>
      </c>
      <c r="U20" s="12" t="s">
        <v>4</v>
      </c>
      <c r="V20" s="13"/>
    </row>
    <row r="21" spans="2:22" ht="17.25" x14ac:dyDescent="0.3">
      <c r="B21" s="6" t="s">
        <v>18</v>
      </c>
      <c r="C21" s="7" t="s">
        <v>16</v>
      </c>
      <c r="D21" s="9">
        <f>CEILING(10*D9*D16/1000,1)</f>
        <v>180</v>
      </c>
      <c r="E21" s="8" t="s">
        <v>4</v>
      </c>
      <c r="M21" s="6" t="s">
        <v>18</v>
      </c>
      <c r="N21" s="7" t="s">
        <v>16</v>
      </c>
      <c r="O21" s="9">
        <f>CEILING(10*O9*O16/1000,1)</f>
        <v>96</v>
      </c>
      <c r="P21" s="8" t="s">
        <v>4</v>
      </c>
    </row>
    <row r="22" spans="2:22" ht="18" thickBot="1" x14ac:dyDescent="0.35">
      <c r="B22" s="11"/>
      <c r="C22" s="38" t="s">
        <v>19</v>
      </c>
      <c r="D22" s="37">
        <f>MAX(D19:D21,20)</f>
        <v>180</v>
      </c>
      <c r="E22" s="13" t="s">
        <v>4</v>
      </c>
      <c r="M22" s="11"/>
      <c r="N22" s="38" t="s">
        <v>19</v>
      </c>
      <c r="O22" s="37">
        <f>MAX(O19:O21,20)</f>
        <v>96</v>
      </c>
      <c r="P22" s="13" t="s">
        <v>4</v>
      </c>
    </row>
    <row r="23" spans="2:22" ht="15.75" thickBot="1" x14ac:dyDescent="0.3">
      <c r="C23" s="2"/>
      <c r="D23" s="3"/>
      <c r="N23" s="2"/>
      <c r="O23" s="3"/>
    </row>
    <row r="24" spans="2:22" ht="15.75" thickBot="1" x14ac:dyDescent="0.3">
      <c r="B24" s="139" t="s">
        <v>77</v>
      </c>
      <c r="C24" s="140"/>
      <c r="D24" s="140"/>
      <c r="E24" s="141"/>
      <c r="M24" s="139" t="s">
        <v>77</v>
      </c>
      <c r="N24" s="140"/>
      <c r="O24" s="140"/>
      <c r="P24" s="141"/>
    </row>
    <row r="25" spans="2:22" ht="17.25" x14ac:dyDescent="0.3">
      <c r="B25" s="14"/>
      <c r="C25" s="15" t="s">
        <v>22</v>
      </c>
      <c r="D25" s="35">
        <f>FLOOR(SQRT((D16+130)*D11/11.8),5)</f>
        <v>125</v>
      </c>
      <c r="E25" s="17" t="s">
        <v>3</v>
      </c>
      <c r="M25" s="14"/>
      <c r="N25" s="15" t="s">
        <v>22</v>
      </c>
      <c r="O25" s="35">
        <f>FLOOR(SQRT((O16+130)*O11/11.8),5)</f>
        <v>150</v>
      </c>
      <c r="P25" s="17" t="s">
        <v>3</v>
      </c>
    </row>
    <row r="26" spans="2:22" ht="17.25" x14ac:dyDescent="0.3">
      <c r="B26" s="6"/>
      <c r="C26" s="7" t="s">
        <v>32</v>
      </c>
      <c r="D26" s="9">
        <f>CEILING(11.8*D25^2/D11-D16,1)</f>
        <v>114</v>
      </c>
      <c r="E26" s="8" t="s">
        <v>5</v>
      </c>
      <c r="M26" s="6"/>
      <c r="N26" s="7" t="s">
        <v>32</v>
      </c>
      <c r="O26" s="9">
        <f>CEILING(11.8*O25^2/O11-O16,1)</f>
        <v>127</v>
      </c>
      <c r="P26" s="8" t="s">
        <v>5</v>
      </c>
    </row>
    <row r="27" spans="2:22" ht="17.25" x14ac:dyDescent="0.3">
      <c r="B27" s="6"/>
      <c r="C27" s="7" t="s">
        <v>33</v>
      </c>
      <c r="D27" s="9">
        <f>FLOOR(SQRT((D16+150)*D11/11.8),5)</f>
        <v>130</v>
      </c>
      <c r="E27" s="8" t="s">
        <v>3</v>
      </c>
      <c r="M27" s="6"/>
      <c r="N27" s="7" t="s">
        <v>33</v>
      </c>
      <c r="O27" s="9">
        <f>FLOOR(SQRT((O16+150)*O11/11.8),5)</f>
        <v>155</v>
      </c>
      <c r="P27" s="8" t="s">
        <v>3</v>
      </c>
    </row>
    <row r="28" spans="2:22" ht="18" thickBot="1" x14ac:dyDescent="0.35">
      <c r="B28" s="11"/>
      <c r="C28" s="38" t="s">
        <v>34</v>
      </c>
      <c r="D28" s="18">
        <f>CEILING(11.8*D27^2/D11-D16,1)</f>
        <v>135</v>
      </c>
      <c r="E28" s="13" t="s">
        <v>5</v>
      </c>
      <c r="M28" s="11"/>
      <c r="N28" s="38" t="s">
        <v>34</v>
      </c>
      <c r="O28" s="18">
        <f>CEILING(11.8*O27^2/O11-O16,1)</f>
        <v>141</v>
      </c>
      <c r="P28" s="13" t="s">
        <v>5</v>
      </c>
    </row>
    <row r="29" spans="2:22" ht="15.75" thickBot="1" x14ac:dyDescent="0.3">
      <c r="K29" s="20"/>
      <c r="L29" s="20"/>
      <c r="V29" s="20"/>
    </row>
    <row r="30" spans="2:22" ht="15.75" thickBot="1" x14ac:dyDescent="0.3">
      <c r="B30" s="139" t="s">
        <v>40</v>
      </c>
      <c r="C30" s="140"/>
      <c r="D30" s="140"/>
      <c r="E30" s="141"/>
      <c r="G30" s="130" t="s">
        <v>46</v>
      </c>
      <c r="H30" s="131"/>
      <c r="I30" s="131"/>
      <c r="J30" s="132"/>
      <c r="K30" s="21"/>
      <c r="L30" s="21"/>
      <c r="M30" s="139" t="s">
        <v>40</v>
      </c>
      <c r="N30" s="140"/>
      <c r="O30" s="140"/>
      <c r="P30" s="141"/>
      <c r="R30" s="130" t="s">
        <v>46</v>
      </c>
      <c r="S30" s="131"/>
      <c r="T30" s="131"/>
      <c r="U30" s="132"/>
      <c r="V30" s="21"/>
    </row>
    <row r="31" spans="2:22" ht="18" x14ac:dyDescent="0.35">
      <c r="B31" s="14" t="s">
        <v>79</v>
      </c>
      <c r="C31" s="32" t="s">
        <v>29</v>
      </c>
      <c r="D31" s="16">
        <f>D22</f>
        <v>180</v>
      </c>
      <c r="E31" s="17" t="s">
        <v>4</v>
      </c>
      <c r="G31" s="14" t="s">
        <v>84</v>
      </c>
      <c r="H31" s="164" t="s">
        <v>41</v>
      </c>
      <c r="I31" s="35">
        <f>ROUND(D22/(2*D11),6)</f>
        <v>0.128388</v>
      </c>
      <c r="J31" s="17" t="s">
        <v>42</v>
      </c>
      <c r="M31" s="14" t="s">
        <v>79</v>
      </c>
      <c r="N31" s="32" t="s">
        <v>29</v>
      </c>
      <c r="O31" s="16">
        <f>O22</f>
        <v>96</v>
      </c>
      <c r="P31" s="17" t="s">
        <v>4</v>
      </c>
      <c r="R31" s="14" t="s">
        <v>84</v>
      </c>
      <c r="S31" s="164" t="s">
        <v>41</v>
      </c>
      <c r="T31" s="35">
        <f>ROUND(O22/(2*O11),6)</f>
        <v>3.7296000000000003E-2</v>
      </c>
      <c r="U31" s="17" t="s">
        <v>42</v>
      </c>
    </row>
    <row r="32" spans="2:22" ht="18" x14ac:dyDescent="0.35">
      <c r="B32" s="6"/>
      <c r="C32" s="33" t="s">
        <v>23</v>
      </c>
      <c r="D32" s="9">
        <f>ROUND(D31/(2*D11),6)</f>
        <v>0.128388</v>
      </c>
      <c r="E32" s="8"/>
      <c r="G32" s="6" t="s">
        <v>84</v>
      </c>
      <c r="H32" s="156"/>
      <c r="I32" s="1">
        <f>ROUND(I31*200/PI(),4)</f>
        <v>8.1734000000000009</v>
      </c>
      <c r="J32" s="10" t="s">
        <v>26</v>
      </c>
      <c r="K32" s="6"/>
      <c r="M32" s="6"/>
      <c r="N32" s="33" t="s">
        <v>23</v>
      </c>
      <c r="O32" s="9">
        <f>ROUND(O31/(2*O11),6)</f>
        <v>3.7296000000000003E-2</v>
      </c>
      <c r="P32" s="8"/>
      <c r="R32" s="6" t="s">
        <v>84</v>
      </c>
      <c r="S32" s="156"/>
      <c r="T32" s="1">
        <f>ROUND(T31*200/PI(),4)</f>
        <v>2.3742999999999999</v>
      </c>
      <c r="U32" s="10" t="s">
        <v>26</v>
      </c>
      <c r="V32" s="6"/>
    </row>
    <row r="33" spans="1:21" ht="17.25" x14ac:dyDescent="0.25">
      <c r="B33" s="151" t="s">
        <v>80</v>
      </c>
      <c r="C33" s="165" t="s">
        <v>24</v>
      </c>
      <c r="D33" s="34">
        <f>ASIN(D32)*180/PI()</f>
        <v>7.3764509225607986</v>
      </c>
      <c r="E33" s="8" t="s">
        <v>25</v>
      </c>
      <c r="G33" s="6" t="s">
        <v>79</v>
      </c>
      <c r="H33" s="5" t="s">
        <v>43</v>
      </c>
      <c r="I33" s="9">
        <f>ROUND(D22-D22^3/(40*D11^2)+D22^5/(3456*D11^4),3)</f>
        <v>179.70400000000001</v>
      </c>
      <c r="J33" s="8" t="s">
        <v>4</v>
      </c>
      <c r="M33" s="151" t="s">
        <v>80</v>
      </c>
      <c r="N33" s="165" t="s">
        <v>24</v>
      </c>
      <c r="O33" s="34">
        <f>ASIN(O32)*180/PI()</f>
        <v>2.1373991055227859</v>
      </c>
      <c r="P33" s="8" t="s">
        <v>25</v>
      </c>
      <c r="R33" s="6" t="s">
        <v>79</v>
      </c>
      <c r="S33" s="5" t="s">
        <v>43</v>
      </c>
      <c r="T33" s="9">
        <f>ROUND(O22-O22^3/(40*O11^2)+O22^5/(3456*O11^4),3)</f>
        <v>95.986999999999995</v>
      </c>
      <c r="U33" s="8" t="s">
        <v>4</v>
      </c>
    </row>
    <row r="34" spans="1:21" ht="17.25" x14ac:dyDescent="0.25">
      <c r="B34" s="151"/>
      <c r="C34" s="165"/>
      <c r="D34" s="9">
        <f>ROUND(ASIN(D32)*200/PI(),4)</f>
        <v>8.1960999999999995</v>
      </c>
      <c r="E34" s="8" t="s">
        <v>26</v>
      </c>
      <c r="G34" s="6" t="s">
        <v>81</v>
      </c>
      <c r="H34" s="5" t="s">
        <v>44</v>
      </c>
      <c r="I34" s="9">
        <f>ROUND(D22^2/(6*D11)-D22^4/(336*D11^3)+D22^6/(42240*D11^5),3)</f>
        <v>7.694</v>
      </c>
      <c r="J34" s="8" t="s">
        <v>4</v>
      </c>
      <c r="M34" s="151"/>
      <c r="N34" s="165"/>
      <c r="O34" s="9">
        <f>ROUND(ASIN(O32)*200/PI(),4)</f>
        <v>2.3748999999999998</v>
      </c>
      <c r="P34" s="8" t="s">
        <v>26</v>
      </c>
      <c r="R34" s="6" t="s">
        <v>81</v>
      </c>
      <c r="S34" s="5" t="s">
        <v>44</v>
      </c>
      <c r="T34" s="9">
        <f>ROUND(O22^2/(6*O11)-O22^4/(336*O11^3)+O22^6/(42240*O11^5),3)</f>
        <v>1.1930000000000001</v>
      </c>
      <c r="U34" s="8" t="s">
        <v>4</v>
      </c>
    </row>
    <row r="35" spans="1:21" ht="17.25" customHeight="1" x14ac:dyDescent="0.25">
      <c r="B35" s="6"/>
      <c r="C35" s="5" t="s">
        <v>27</v>
      </c>
      <c r="D35" s="9">
        <f>ROUND(1/COS(D34*PI()/200),6)</f>
        <v>1.008345</v>
      </c>
      <c r="E35" s="8"/>
      <c r="G35" s="6" t="s">
        <v>85</v>
      </c>
      <c r="H35" s="5" t="s">
        <v>45</v>
      </c>
      <c r="I35" s="9">
        <f>D22*D11</f>
        <v>126180</v>
      </c>
      <c r="J35" s="8" t="s">
        <v>76</v>
      </c>
      <c r="M35" s="6"/>
      <c r="N35" s="5" t="s">
        <v>27</v>
      </c>
      <c r="O35" s="9">
        <f>ROUND(1/COS(O34*PI()/200),6)</f>
        <v>1.000696</v>
      </c>
      <c r="P35" s="8"/>
      <c r="R35" s="6" t="s">
        <v>85</v>
      </c>
      <c r="S35" s="5" t="s">
        <v>45</v>
      </c>
      <c r="T35" s="9">
        <f>O22*O11</f>
        <v>123552</v>
      </c>
      <c r="U35" s="8" t="s">
        <v>76</v>
      </c>
    </row>
    <row r="36" spans="1:21" ht="17.25" customHeight="1" x14ac:dyDescent="0.25">
      <c r="B36" s="151" t="s">
        <v>81</v>
      </c>
      <c r="C36" s="149" t="s">
        <v>28</v>
      </c>
      <c r="D36" s="34">
        <f>ROUND(D35*D31^2/(6*D11),3)</f>
        <v>7.7679999999999998</v>
      </c>
      <c r="E36" s="147" t="s">
        <v>4</v>
      </c>
      <c r="G36" s="6"/>
      <c r="H36" s="5" t="s">
        <v>57</v>
      </c>
      <c r="I36" s="9">
        <f>ROUND(SQRT(I35),3)</f>
        <v>355.21800000000002</v>
      </c>
      <c r="J36" s="8" t="s">
        <v>76</v>
      </c>
      <c r="M36" s="151" t="s">
        <v>81</v>
      </c>
      <c r="N36" s="149" t="s">
        <v>28</v>
      </c>
      <c r="O36" s="34">
        <f>ROUND(O35*O31^2/(6*O11),3)</f>
        <v>1.194</v>
      </c>
      <c r="P36" s="147" t="s">
        <v>4</v>
      </c>
      <c r="R36" s="6"/>
      <c r="S36" s="5" t="s">
        <v>57</v>
      </c>
      <c r="T36" s="9">
        <f>ROUND(SQRT(T35),3)</f>
        <v>351.5</v>
      </c>
      <c r="U36" s="8" t="s">
        <v>76</v>
      </c>
    </row>
    <row r="37" spans="1:21" ht="17.25" customHeight="1" x14ac:dyDescent="0.25">
      <c r="B37" s="151"/>
      <c r="C37" s="149"/>
      <c r="D37" s="9">
        <f>ROUND(D31/3*TAN(D34*PI()/200),3)</f>
        <v>7.7679999999999998</v>
      </c>
      <c r="E37" s="147"/>
      <c r="G37" s="151" t="s">
        <v>82</v>
      </c>
      <c r="H37" s="149" t="s">
        <v>30</v>
      </c>
      <c r="I37" s="34">
        <f>ROUND(I33-D11*SIN(I31),3)</f>
        <v>89.950999999999993</v>
      </c>
      <c r="J37" s="8" t="s">
        <v>4</v>
      </c>
      <c r="L37" s="10"/>
      <c r="M37" s="151"/>
      <c r="N37" s="149"/>
      <c r="O37" s="9">
        <f>ROUND(O31/3*TAN(O34*PI()/200),3)</f>
        <v>1.194</v>
      </c>
      <c r="P37" s="147"/>
      <c r="R37" s="151" t="s">
        <v>82</v>
      </c>
      <c r="S37" s="149" t="s">
        <v>30</v>
      </c>
      <c r="T37" s="34">
        <f>ROUND(T33-O11*SIN(T31),3)</f>
        <v>47.997999999999998</v>
      </c>
      <c r="U37" s="8" t="s">
        <v>4</v>
      </c>
    </row>
    <row r="38" spans="1:21" ht="17.25" customHeight="1" x14ac:dyDescent="0.25">
      <c r="B38" s="6" t="s">
        <v>82</v>
      </c>
      <c r="C38" s="5" t="s">
        <v>30</v>
      </c>
      <c r="D38" s="9">
        <f>D31/2</f>
        <v>90</v>
      </c>
      <c r="E38" s="8" t="s">
        <v>4</v>
      </c>
      <c r="G38" s="151"/>
      <c r="H38" s="149"/>
      <c r="I38" s="9">
        <f>ROUND(D22/2-D22^3/(240*D11^2),3)</f>
        <v>89.950999999999993</v>
      </c>
      <c r="J38" s="8" t="s">
        <v>4</v>
      </c>
      <c r="M38" s="6" t="s">
        <v>82</v>
      </c>
      <c r="N38" s="5" t="s">
        <v>30</v>
      </c>
      <c r="O38" s="9">
        <f>O31/2</f>
        <v>48</v>
      </c>
      <c r="P38" s="8" t="s">
        <v>4</v>
      </c>
      <c r="R38" s="151"/>
      <c r="S38" s="149"/>
      <c r="T38" s="9">
        <f>ROUND(O22/2-O22^3/(240*O11^2),3)</f>
        <v>47.997999999999998</v>
      </c>
      <c r="U38" s="8" t="s">
        <v>4</v>
      </c>
    </row>
    <row r="39" spans="1:21" x14ac:dyDescent="0.25">
      <c r="B39" s="6" t="s">
        <v>86</v>
      </c>
      <c r="C39" s="5" t="s">
        <v>4</v>
      </c>
      <c r="D39" s="40">
        <f>(D36-D11*(1-COS(D34*PI()/200)))</f>
        <v>1.9664729654308601</v>
      </c>
      <c r="E39" s="8" t="s">
        <v>4</v>
      </c>
      <c r="G39" s="151" t="s">
        <v>86</v>
      </c>
      <c r="H39" s="149" t="s">
        <v>4</v>
      </c>
      <c r="I39" s="36">
        <f>ROUND(I34-D11*(1-COS(I31)),3)</f>
        <v>1.9239999999999999</v>
      </c>
      <c r="J39" s="8" t="s">
        <v>4</v>
      </c>
      <c r="M39" s="6" t="s">
        <v>86</v>
      </c>
      <c r="N39" s="5" t="s">
        <v>4</v>
      </c>
      <c r="O39" s="40">
        <f>(O36-O11*(1-COS(O34*PI()/200)))</f>
        <v>0.29857628124992031</v>
      </c>
      <c r="P39" s="8" t="s">
        <v>4</v>
      </c>
      <c r="R39" s="151" t="s">
        <v>86</v>
      </c>
      <c r="S39" s="149" t="s">
        <v>4</v>
      </c>
      <c r="T39" s="95">
        <f>(T34-O11*(1-COS(T31)))</f>
        <v>0.29800064703610873</v>
      </c>
      <c r="U39" s="8" t="s">
        <v>4</v>
      </c>
    </row>
    <row r="40" spans="1:21" ht="17.25" customHeight="1" x14ac:dyDescent="0.25">
      <c r="B40" s="151" t="s">
        <v>39</v>
      </c>
      <c r="C40" s="149" t="s">
        <v>31</v>
      </c>
      <c r="D40" s="34">
        <f>ROUND(D31+D31/10*TAN(D34*PI()/200)^2,3)</f>
        <v>180.30199999999999</v>
      </c>
      <c r="E40" s="147" t="s">
        <v>4</v>
      </c>
      <c r="G40" s="151"/>
      <c r="H40" s="149"/>
      <c r="I40" s="40">
        <f>(D22^2/(24*D11)-D22^4/(2688*D11^3))</f>
        <v>1.9246865344422024</v>
      </c>
      <c r="J40" s="8" t="s">
        <v>4</v>
      </c>
      <c r="M40" s="151" t="s">
        <v>39</v>
      </c>
      <c r="N40" s="149" t="s">
        <v>31</v>
      </c>
      <c r="O40" s="34">
        <f>ROUND(O31+O31/10*TAN(O34*PI()/200)^2,3)</f>
        <v>96.013000000000005</v>
      </c>
      <c r="P40" s="147" t="s">
        <v>4</v>
      </c>
      <c r="R40" s="151"/>
      <c r="S40" s="149"/>
      <c r="T40" s="40">
        <f>(O22^2/(24*O11)-O22^4/(2688*O11^3))</f>
        <v>0.29835347591717098</v>
      </c>
      <c r="U40" s="8" t="s">
        <v>4</v>
      </c>
    </row>
    <row r="41" spans="1:21" ht="18" thickBot="1" x14ac:dyDescent="0.35">
      <c r="B41" s="152"/>
      <c r="C41" s="150"/>
      <c r="D41" s="18">
        <f>ROUND(D31+D35^2*D31^3/(40*D11^2),3)</f>
        <v>180.30199999999999</v>
      </c>
      <c r="E41" s="148"/>
      <c r="G41" s="11" t="s">
        <v>39</v>
      </c>
      <c r="H41" s="38" t="s">
        <v>14</v>
      </c>
      <c r="I41" s="37">
        <f>D22</f>
        <v>180</v>
      </c>
      <c r="J41" s="42" t="s">
        <v>4</v>
      </c>
      <c r="M41" s="152"/>
      <c r="N41" s="150"/>
      <c r="O41" s="18">
        <f>ROUND(O31+O35^2*O31^3/(40*O11^2),3)</f>
        <v>96.013000000000005</v>
      </c>
      <c r="P41" s="148"/>
      <c r="R41" s="11" t="s">
        <v>39</v>
      </c>
      <c r="S41" s="38" t="s">
        <v>14</v>
      </c>
      <c r="T41" s="37">
        <f>O22</f>
        <v>96</v>
      </c>
      <c r="U41" s="42" t="s">
        <v>4</v>
      </c>
    </row>
    <row r="42" spans="1:21" ht="15.75" thickBot="1" x14ac:dyDescent="0.3">
      <c r="A42" s="10"/>
      <c r="B42" s="10"/>
      <c r="C42" s="10"/>
      <c r="D42" s="10"/>
      <c r="E42" s="19"/>
      <c r="M42" s="10"/>
      <c r="N42" s="10"/>
      <c r="O42" s="10"/>
      <c r="P42" s="19"/>
    </row>
    <row r="43" spans="1:21" ht="15.75" thickBot="1" x14ac:dyDescent="0.3">
      <c r="A43" s="10"/>
      <c r="B43" s="139" t="s">
        <v>47</v>
      </c>
      <c r="C43" s="140"/>
      <c r="D43" s="140"/>
      <c r="E43" s="141"/>
      <c r="G43" s="130" t="s">
        <v>97</v>
      </c>
      <c r="H43" s="131"/>
      <c r="I43" s="131"/>
      <c r="J43" s="132"/>
      <c r="M43" s="139" t="s">
        <v>47</v>
      </c>
      <c r="N43" s="140"/>
      <c r="O43" s="140"/>
      <c r="P43" s="141"/>
      <c r="R43" s="130" t="s">
        <v>97</v>
      </c>
      <c r="S43" s="131"/>
      <c r="T43" s="131"/>
      <c r="U43" s="132"/>
    </row>
    <row r="44" spans="1:21" ht="17.25" x14ac:dyDescent="0.3">
      <c r="B44" s="14" t="s">
        <v>38</v>
      </c>
      <c r="C44" s="15" t="s">
        <v>35</v>
      </c>
      <c r="D44" s="22">
        <v>26.290700000000001</v>
      </c>
      <c r="E44" s="17" t="s">
        <v>26</v>
      </c>
      <c r="G44" s="14" t="s">
        <v>38</v>
      </c>
      <c r="H44" s="15" t="s">
        <v>35</v>
      </c>
      <c r="I44" s="44">
        <f>D44</f>
        <v>26.290700000000001</v>
      </c>
      <c r="J44" s="17" t="s">
        <v>26</v>
      </c>
      <c r="M44" s="14" t="s">
        <v>38</v>
      </c>
      <c r="N44" s="15" t="s">
        <v>128</v>
      </c>
      <c r="O44" s="46">
        <v>10.3748</v>
      </c>
      <c r="P44" s="17" t="s">
        <v>26</v>
      </c>
      <c r="R44" s="14" t="s">
        <v>38</v>
      </c>
      <c r="S44" s="15" t="s">
        <v>35</v>
      </c>
      <c r="T44" s="44">
        <f>O44</f>
        <v>10.3748</v>
      </c>
      <c r="U44" s="17" t="s">
        <v>26</v>
      </c>
    </row>
    <row r="45" spans="1:21" ht="17.25" x14ac:dyDescent="0.3">
      <c r="B45" s="6" t="s">
        <v>54</v>
      </c>
      <c r="C45" s="7" t="s">
        <v>51</v>
      </c>
      <c r="D45" s="9">
        <f>D44-2*D34</f>
        <v>9.8985000000000021</v>
      </c>
      <c r="E45" s="8" t="s">
        <v>26</v>
      </c>
      <c r="G45" s="6" t="s">
        <v>54</v>
      </c>
      <c r="H45" s="7" t="s">
        <v>51</v>
      </c>
      <c r="I45" s="9">
        <f>I44-2*I32</f>
        <v>9.9438999999999993</v>
      </c>
      <c r="J45" s="8" t="s">
        <v>26</v>
      </c>
      <c r="M45" s="6" t="s">
        <v>54</v>
      </c>
      <c r="N45" s="7" t="s">
        <v>51</v>
      </c>
      <c r="O45" s="9">
        <f>O44-2*O34</f>
        <v>5.6250000000000009</v>
      </c>
      <c r="P45" s="8" t="s">
        <v>26</v>
      </c>
      <c r="R45" s="6" t="s">
        <v>54</v>
      </c>
      <c r="S45" s="7" t="s">
        <v>51</v>
      </c>
      <c r="T45" s="9">
        <f>T44-2*T32</f>
        <v>5.6262000000000008</v>
      </c>
      <c r="U45" s="8" t="s">
        <v>26</v>
      </c>
    </row>
    <row r="46" spans="1:21" ht="17.25" x14ac:dyDescent="0.3">
      <c r="B46" s="25" t="s">
        <v>55</v>
      </c>
      <c r="C46" s="26" t="s">
        <v>58</v>
      </c>
      <c r="D46" s="34">
        <f>ROUND(D11*TAN(D45/2*PI()/200),3)</f>
        <v>54.607999999999997</v>
      </c>
      <c r="E46" s="27" t="s">
        <v>4</v>
      </c>
      <c r="G46" s="25" t="s">
        <v>55</v>
      </c>
      <c r="H46" s="26" t="s">
        <v>58</v>
      </c>
      <c r="I46" s="34">
        <f>ROUND(D11*TAN(I45/2*PI()/200),3)</f>
        <v>54.859000000000002</v>
      </c>
      <c r="J46" s="27" t="s">
        <v>4</v>
      </c>
      <c r="M46" s="25" t="s">
        <v>55</v>
      </c>
      <c r="N46" s="26" t="s">
        <v>58</v>
      </c>
      <c r="O46" s="34">
        <f>ROUND(O11*TAN(O45/2*PI()/200),3)</f>
        <v>56.895000000000003</v>
      </c>
      <c r="P46" s="27" t="s">
        <v>4</v>
      </c>
      <c r="R46" s="25" t="s">
        <v>55</v>
      </c>
      <c r="S46" s="26" t="s">
        <v>58</v>
      </c>
      <c r="T46" s="34">
        <f>ROUND(O11*TAN(T45/2*PI()/200),3)</f>
        <v>56.906999999999996</v>
      </c>
      <c r="U46" s="27" t="s">
        <v>4</v>
      </c>
    </row>
    <row r="47" spans="1:21" ht="17.25" x14ac:dyDescent="0.3">
      <c r="B47" s="25" t="s">
        <v>37</v>
      </c>
      <c r="C47" s="26" t="s">
        <v>59</v>
      </c>
      <c r="D47" s="34">
        <f>ROUND(D11/COS(((D45*PI()/200)/2))-D11,3)</f>
        <v>2.1240000000000001</v>
      </c>
      <c r="E47" s="27" t="s">
        <v>4</v>
      </c>
      <c r="G47" s="25" t="s">
        <v>37</v>
      </c>
      <c r="H47" s="26" t="s">
        <v>59</v>
      </c>
      <c r="I47" s="34">
        <f>ROUND(D11/COS(((I45*PI()/200)/2))-D11,3)</f>
        <v>2.1429999999999998</v>
      </c>
      <c r="J47" s="27" t="s">
        <v>4</v>
      </c>
      <c r="M47" s="25" t="s">
        <v>37</v>
      </c>
      <c r="N47" s="26" t="s">
        <v>59</v>
      </c>
      <c r="O47" s="34">
        <f>ROUND(O11/COS(((O45*PI()/200)/2))-O11,3)</f>
        <v>1.2569999999999999</v>
      </c>
      <c r="P47" s="27" t="s">
        <v>4</v>
      </c>
      <c r="R47" s="25" t="s">
        <v>37</v>
      </c>
      <c r="S47" s="26" t="s">
        <v>59</v>
      </c>
      <c r="T47" s="34">
        <f>ROUND(O11/COS(((T45*PI()/200)/2))-O11,3)</f>
        <v>1.258</v>
      </c>
      <c r="U47" s="27" t="s">
        <v>4</v>
      </c>
    </row>
    <row r="48" spans="1:21" x14ac:dyDescent="0.25">
      <c r="B48" s="6" t="s">
        <v>37</v>
      </c>
      <c r="C48" s="4" t="s">
        <v>48</v>
      </c>
      <c r="D48" s="9">
        <f>ROUND((D11+D39)*(1/COS(D44/2*PI()/200)-1)+D39,3)</f>
        <v>17.224</v>
      </c>
      <c r="E48" s="8" t="s">
        <v>4</v>
      </c>
      <c r="G48" s="6" t="s">
        <v>37</v>
      </c>
      <c r="H48" s="4" t="s">
        <v>48</v>
      </c>
      <c r="I48" s="9">
        <f>ROUND((D11+I40)*(1/COS(I44/2*PI()/200)-1)+I40,3)</f>
        <v>17.181000000000001</v>
      </c>
      <c r="J48" s="8" t="s">
        <v>4</v>
      </c>
      <c r="M48" s="6" t="s">
        <v>37</v>
      </c>
      <c r="N48" s="4" t="s">
        <v>48</v>
      </c>
      <c r="O48" s="9">
        <f>ROUND((O11+O39)*(1/COS(O44/2*PI()/200)-1)+O39,3)</f>
        <v>4.5839999999999996</v>
      </c>
      <c r="P48" s="8" t="s">
        <v>4</v>
      </c>
      <c r="R48" s="6" t="s">
        <v>37</v>
      </c>
      <c r="S48" s="4" t="s">
        <v>48</v>
      </c>
      <c r="T48" s="9">
        <f>ROUND((O11+T40)*(1/COS(T44/2*PI()/200)-1)+T40,3)</f>
        <v>4.5839999999999996</v>
      </c>
      <c r="U48" s="8" t="s">
        <v>4</v>
      </c>
    </row>
    <row r="49" spans="2:21" x14ac:dyDescent="0.25">
      <c r="B49" s="23" t="s">
        <v>50</v>
      </c>
      <c r="C49" s="4" t="s">
        <v>49</v>
      </c>
      <c r="D49" s="9">
        <f>ROUND(D38+(D39+D11)*TAN(D44/2*PI()/200),3)</f>
        <v>237.25200000000001</v>
      </c>
      <c r="E49" s="8" t="s">
        <v>4</v>
      </c>
      <c r="G49" s="23" t="s">
        <v>50</v>
      </c>
      <c r="H49" s="4" t="s">
        <v>49</v>
      </c>
      <c r="I49" s="9">
        <f>ROUND(I38+(I40+D11)*TAN(I44/2*PI()/200),3)</f>
        <v>237.19399999999999</v>
      </c>
      <c r="J49" s="8" t="s">
        <v>4</v>
      </c>
      <c r="M49" s="23" t="s">
        <v>50</v>
      </c>
      <c r="N49" s="4" t="s">
        <v>49</v>
      </c>
      <c r="O49" s="9">
        <f>ROUND(O38+(O39+O11)*TAN(O44/2*PI()/200),3)</f>
        <v>153.126</v>
      </c>
      <c r="P49" s="8" t="s">
        <v>4</v>
      </c>
      <c r="R49" s="23" t="s">
        <v>50</v>
      </c>
      <c r="S49" s="4" t="s">
        <v>49</v>
      </c>
      <c r="T49" s="9">
        <f>ROUND(T38+(T40+O11)*TAN(T44/2*PI()/200),3)</f>
        <v>153.124</v>
      </c>
      <c r="U49" s="8" t="s">
        <v>4</v>
      </c>
    </row>
    <row r="50" spans="2:21" ht="17.25" x14ac:dyDescent="0.3">
      <c r="B50" s="6" t="s">
        <v>56</v>
      </c>
      <c r="C50" s="7" t="s">
        <v>36</v>
      </c>
      <c r="D50" s="9">
        <f>ROUND(D11*D45*PI()/200,3)</f>
        <v>108.995</v>
      </c>
      <c r="E50" s="8" t="s">
        <v>4</v>
      </c>
      <c r="G50" s="6" t="s">
        <v>56</v>
      </c>
      <c r="H50" s="7" t="s">
        <v>36</v>
      </c>
      <c r="I50" s="9">
        <f>ROUND(D11*I45*PI()/200,3)</f>
        <v>109.495</v>
      </c>
      <c r="J50" s="8" t="s">
        <v>4</v>
      </c>
      <c r="M50" s="6" t="s">
        <v>56</v>
      </c>
      <c r="N50" s="7" t="s">
        <v>36</v>
      </c>
      <c r="O50" s="9">
        <f>ROUND(O11*O45*PI()/200,3)</f>
        <v>113.71599999999999</v>
      </c>
      <c r="P50" s="8" t="s">
        <v>4</v>
      </c>
      <c r="R50" s="6" t="s">
        <v>56</v>
      </c>
      <c r="S50" s="7" t="s">
        <v>36</v>
      </c>
      <c r="T50" s="40">
        <f>ROUND(O11*T45*PI()/200,3)</f>
        <v>113.74</v>
      </c>
      <c r="U50" s="8" t="s">
        <v>4</v>
      </c>
    </row>
    <row r="51" spans="2:21" ht="15.75" thickBot="1" x14ac:dyDescent="0.3">
      <c r="B51" s="11" t="s">
        <v>52</v>
      </c>
      <c r="C51" s="24" t="s">
        <v>53</v>
      </c>
      <c r="D51" s="18">
        <f>2*D41+D50</f>
        <v>469.59899999999999</v>
      </c>
      <c r="E51" s="13" t="s">
        <v>4</v>
      </c>
      <c r="G51" s="11" t="s">
        <v>52</v>
      </c>
      <c r="H51" s="24" t="s">
        <v>53</v>
      </c>
      <c r="I51" s="18">
        <f>2*I41+I50</f>
        <v>469.495</v>
      </c>
      <c r="J51" s="13" t="s">
        <v>4</v>
      </c>
      <c r="M51" s="11" t="s">
        <v>52</v>
      </c>
      <c r="N51" s="24" t="s">
        <v>53</v>
      </c>
      <c r="O51" s="18">
        <f>2*O41+O50</f>
        <v>305.74200000000002</v>
      </c>
      <c r="P51" s="13" t="s">
        <v>4</v>
      </c>
      <c r="R51" s="11" t="s">
        <v>52</v>
      </c>
      <c r="S51" s="24" t="s">
        <v>53</v>
      </c>
      <c r="T51" s="18">
        <f>2*T41+T50</f>
        <v>305.74</v>
      </c>
      <c r="U51" s="13" t="s">
        <v>4</v>
      </c>
    </row>
    <row r="52" spans="2:21" ht="15.75" thickBot="1" x14ac:dyDescent="0.3"/>
    <row r="53" spans="2:21" ht="15.75" thickBot="1" x14ac:dyDescent="0.3">
      <c r="B53" s="139" t="s">
        <v>75</v>
      </c>
      <c r="C53" s="140"/>
      <c r="D53" s="140"/>
      <c r="E53" s="141"/>
      <c r="G53" s="139" t="s">
        <v>75</v>
      </c>
      <c r="H53" s="140"/>
      <c r="I53" s="140"/>
      <c r="J53" s="141"/>
      <c r="M53" s="139" t="s">
        <v>75</v>
      </c>
      <c r="N53" s="140"/>
      <c r="O53" s="140"/>
      <c r="P53" s="141"/>
      <c r="R53" s="139" t="s">
        <v>75</v>
      </c>
      <c r="S53" s="140"/>
      <c r="T53" s="140"/>
      <c r="U53" s="141"/>
    </row>
    <row r="54" spans="2:21" x14ac:dyDescent="0.25">
      <c r="B54" s="28" t="s">
        <v>62</v>
      </c>
      <c r="C54" s="29" t="s">
        <v>60</v>
      </c>
      <c r="D54" s="22">
        <v>121.444755</v>
      </c>
      <c r="E54" s="17" t="s">
        <v>61</v>
      </c>
      <c r="G54" s="28" t="s">
        <v>62</v>
      </c>
      <c r="H54" s="29" t="s">
        <v>60</v>
      </c>
      <c r="I54" s="45">
        <f>D54+D49*10^-3-I49*10^-3</f>
        <v>121.444813</v>
      </c>
      <c r="J54" s="17" t="s">
        <v>61</v>
      </c>
      <c r="M54" s="28" t="s">
        <v>62</v>
      </c>
      <c r="N54" s="29" t="s">
        <v>102</v>
      </c>
      <c r="O54" s="22">
        <v>121.953907</v>
      </c>
      <c r="P54" s="17" t="s">
        <v>61</v>
      </c>
      <c r="R54" s="28" t="s">
        <v>62</v>
      </c>
      <c r="S54" s="29" t="s">
        <v>102</v>
      </c>
      <c r="T54" s="45">
        <f>I57+D62*10^-3</f>
        <v>121.95392100000002</v>
      </c>
      <c r="U54" s="17" t="s">
        <v>61</v>
      </c>
    </row>
    <row r="55" spans="2:21" x14ac:dyDescent="0.25">
      <c r="B55" s="6" t="s">
        <v>72</v>
      </c>
      <c r="C55" s="4" t="s">
        <v>69</v>
      </c>
      <c r="D55" s="9">
        <f>D54+D40*10^-3</f>
        <v>121.625057</v>
      </c>
      <c r="E55" s="8" t="s">
        <v>61</v>
      </c>
      <c r="G55" s="6" t="s">
        <v>72</v>
      </c>
      <c r="H55" s="4" t="s">
        <v>69</v>
      </c>
      <c r="I55" s="30">
        <f>I54+I41*10^-3</f>
        <v>121.624813</v>
      </c>
      <c r="J55" s="8" t="s">
        <v>61</v>
      </c>
      <c r="M55" s="6" t="s">
        <v>72</v>
      </c>
      <c r="N55" s="4" t="s">
        <v>69</v>
      </c>
      <c r="O55" s="9">
        <f>O54+O40*10^-3</f>
        <v>122.04992</v>
      </c>
      <c r="P55" s="8" t="s">
        <v>61</v>
      </c>
      <c r="R55" s="6" t="s">
        <v>72</v>
      </c>
      <c r="S55" s="4" t="s">
        <v>69</v>
      </c>
      <c r="T55" s="30">
        <f>T54+T41*10^-3</f>
        <v>122.04992100000003</v>
      </c>
      <c r="U55" s="8" t="s">
        <v>61</v>
      </c>
    </row>
    <row r="56" spans="2:21" x14ac:dyDescent="0.25">
      <c r="B56" s="6" t="s">
        <v>73</v>
      </c>
      <c r="C56" s="4" t="s">
        <v>70</v>
      </c>
      <c r="D56" s="30">
        <f>D55+D50*10^-3</f>
        <v>121.73405199999999</v>
      </c>
      <c r="E56" s="8" t="s">
        <v>61</v>
      </c>
      <c r="G56" s="6" t="s">
        <v>73</v>
      </c>
      <c r="H56" s="4" t="s">
        <v>70</v>
      </c>
      <c r="I56" s="30">
        <f>I55+I50*10^-3</f>
        <v>121.734308</v>
      </c>
      <c r="J56" s="8" t="s">
        <v>61</v>
      </c>
      <c r="M56" s="6" t="s">
        <v>73</v>
      </c>
      <c r="N56" s="4" t="s">
        <v>70</v>
      </c>
      <c r="O56" s="30">
        <f>O55+O50*10^-3</f>
        <v>122.163636</v>
      </c>
      <c r="P56" s="8" t="s">
        <v>61</v>
      </c>
      <c r="R56" s="6" t="s">
        <v>73</v>
      </c>
      <c r="S56" s="4" t="s">
        <v>70</v>
      </c>
      <c r="T56" s="30">
        <f>T55+T50*10^-3</f>
        <v>122.16366100000003</v>
      </c>
      <c r="U56" s="8" t="s">
        <v>61</v>
      </c>
    </row>
    <row r="57" spans="2:21" ht="15.75" thickBot="1" x14ac:dyDescent="0.3">
      <c r="B57" s="11" t="s">
        <v>74</v>
      </c>
      <c r="C57" s="24" t="s">
        <v>71</v>
      </c>
      <c r="D57" s="31">
        <f>D56+D41*10^-3</f>
        <v>121.91435399999999</v>
      </c>
      <c r="E57" s="13" t="s">
        <v>61</v>
      </c>
      <c r="G57" s="11" t="s">
        <v>74</v>
      </c>
      <c r="H57" s="24" t="s">
        <v>71</v>
      </c>
      <c r="I57" s="31">
        <f>I56+I41*10^-3</f>
        <v>121.91430800000001</v>
      </c>
      <c r="J57" s="13" t="s">
        <v>61</v>
      </c>
      <c r="M57" s="11" t="s">
        <v>74</v>
      </c>
      <c r="N57" s="24" t="s">
        <v>103</v>
      </c>
      <c r="O57" s="31">
        <f>O56+O41*10^-3</f>
        <v>122.259649</v>
      </c>
      <c r="P57" s="13" t="s">
        <v>61</v>
      </c>
      <c r="R57" s="11" t="s">
        <v>74</v>
      </c>
      <c r="S57" s="24" t="s">
        <v>103</v>
      </c>
      <c r="T57" s="31">
        <f>T56+T41*10^-3</f>
        <v>122.25966100000004</v>
      </c>
      <c r="U57" s="13" t="s">
        <v>61</v>
      </c>
    </row>
    <row r="58" spans="2:21" ht="15.75" thickBot="1" x14ac:dyDescent="0.3"/>
    <row r="59" spans="2:21" ht="15.75" thickBot="1" x14ac:dyDescent="0.3">
      <c r="B59" s="157" t="s">
        <v>125</v>
      </c>
      <c r="C59" s="158"/>
      <c r="D59" s="158"/>
      <c r="E59" s="159"/>
    </row>
    <row r="60" spans="2:21" ht="17.25" x14ac:dyDescent="0.3">
      <c r="B60" s="14" t="s">
        <v>105</v>
      </c>
      <c r="C60" s="29" t="s">
        <v>106</v>
      </c>
      <c r="D60" s="53">
        <f>D49+O49+D61</f>
        <v>429.9310000000122</v>
      </c>
      <c r="E60" s="17" t="s">
        <v>4</v>
      </c>
      <c r="H60" s="4"/>
      <c r="I60" s="3"/>
    </row>
    <row r="61" spans="2:21" ht="17.25" x14ac:dyDescent="0.3">
      <c r="B61" s="6" t="s">
        <v>148</v>
      </c>
      <c r="C61" s="4" t="s">
        <v>197</v>
      </c>
      <c r="D61" s="9">
        <f>(O54-D57)*10^3</f>
        <v>39.553000000012162</v>
      </c>
      <c r="E61" s="8" t="s">
        <v>4</v>
      </c>
    </row>
    <row r="62" spans="2:21" ht="17.25" x14ac:dyDescent="0.3">
      <c r="B62" s="6" t="s">
        <v>149</v>
      </c>
      <c r="C62" s="4" t="s">
        <v>198</v>
      </c>
      <c r="D62" s="40">
        <f>(D60-I49-T49)</f>
        <v>39.613000000012221</v>
      </c>
      <c r="E62" s="8" t="s">
        <v>4</v>
      </c>
      <c r="F62" s="20"/>
    </row>
    <row r="63" spans="2:21" x14ac:dyDescent="0.25">
      <c r="B63" s="6" t="s">
        <v>147</v>
      </c>
      <c r="C63" s="4" t="s">
        <v>104</v>
      </c>
      <c r="D63" s="40">
        <f>D62-D66</f>
        <v>14.959000000012221</v>
      </c>
      <c r="E63" s="8" t="s">
        <v>4</v>
      </c>
      <c r="F63" s="20"/>
    </row>
    <row r="64" spans="2:21" x14ac:dyDescent="0.25">
      <c r="B64" s="6" t="s">
        <v>126</v>
      </c>
      <c r="C64" s="51" t="s">
        <v>127</v>
      </c>
      <c r="D64" s="39">
        <v>4</v>
      </c>
      <c r="E64" s="8" t="s">
        <v>4</v>
      </c>
    </row>
    <row r="65" spans="2:11" ht="17.25" x14ac:dyDescent="0.3">
      <c r="B65" s="6" t="s">
        <v>135</v>
      </c>
      <c r="C65" s="7" t="s">
        <v>128</v>
      </c>
      <c r="D65" s="56">
        <f>O44</f>
        <v>10.3748</v>
      </c>
      <c r="E65" s="8" t="s">
        <v>26</v>
      </c>
    </row>
    <row r="66" spans="2:11" x14ac:dyDescent="0.25">
      <c r="B66" s="6" t="s">
        <v>130</v>
      </c>
      <c r="C66" s="51" t="s">
        <v>129</v>
      </c>
      <c r="D66" s="40">
        <f>ROUND(D64/SIN(D65*PI()/200),3)</f>
        <v>24.654</v>
      </c>
      <c r="E66" s="8" t="s">
        <v>4</v>
      </c>
    </row>
    <row r="67" spans="2:11" ht="19.5" thickBot="1" x14ac:dyDescent="0.35">
      <c r="B67" s="11" t="s">
        <v>136</v>
      </c>
      <c r="C67" s="38" t="s">
        <v>35</v>
      </c>
      <c r="D67" s="18">
        <f>D44</f>
        <v>26.290700000000001</v>
      </c>
      <c r="E67" s="13" t="s">
        <v>26</v>
      </c>
      <c r="G67" s="79" t="s">
        <v>204</v>
      </c>
      <c r="K67" s="78" t="s">
        <v>205</v>
      </c>
    </row>
    <row r="68" spans="2:11" ht="15.75" thickBot="1" x14ac:dyDescent="0.3">
      <c r="K68" s="80">
        <v>0</v>
      </c>
    </row>
    <row r="69" spans="2:11" ht="15.75" thickBot="1" x14ac:dyDescent="0.3">
      <c r="B69" s="139" t="s">
        <v>137</v>
      </c>
      <c r="C69" s="140"/>
      <c r="D69" s="140"/>
      <c r="E69" s="141"/>
      <c r="K69" s="78" t="s">
        <v>206</v>
      </c>
    </row>
    <row r="70" spans="2:11" ht="17.25" x14ac:dyDescent="0.3">
      <c r="B70" s="14" t="s">
        <v>131</v>
      </c>
      <c r="C70" s="15" t="s">
        <v>151</v>
      </c>
      <c r="D70" s="77">
        <v>201.59800000000001</v>
      </c>
      <c r="E70" s="17" t="s">
        <v>4</v>
      </c>
      <c r="G70" s="14" t="s">
        <v>132</v>
      </c>
      <c r="H70" s="15" t="s">
        <v>133</v>
      </c>
      <c r="I70" s="67">
        <f>ROUND(D70*O16/D16,3)</f>
        <v>107.51900000000001</v>
      </c>
      <c r="J70" s="17" t="s">
        <v>4</v>
      </c>
    </row>
    <row r="71" spans="2:11" ht="18" customHeight="1" x14ac:dyDescent="0.25">
      <c r="B71" s="151" t="s">
        <v>134</v>
      </c>
      <c r="C71" s="156" t="s">
        <v>152</v>
      </c>
      <c r="D71" s="9">
        <f>ROUND(D70/(2*D11),6)</f>
        <v>0.143793</v>
      </c>
      <c r="E71" s="8" t="s">
        <v>42</v>
      </c>
      <c r="G71" s="151" t="s">
        <v>134</v>
      </c>
      <c r="H71" s="156" t="s">
        <v>145</v>
      </c>
      <c r="I71" s="9">
        <f>ROUND(I70/(2*O11),6)</f>
        <v>4.1771000000000003E-2</v>
      </c>
      <c r="J71" s="8" t="s">
        <v>42</v>
      </c>
    </row>
    <row r="72" spans="2:11" ht="15" customHeight="1" x14ac:dyDescent="0.25">
      <c r="B72" s="151"/>
      <c r="C72" s="156"/>
      <c r="D72" s="9">
        <f>ROUND(D71*200/PI(),4)</f>
        <v>9.1540999999999997</v>
      </c>
      <c r="E72" s="8" t="s">
        <v>26</v>
      </c>
      <c r="G72" s="151"/>
      <c r="H72" s="156"/>
      <c r="I72" s="9">
        <f>ROUND(I71*200/PI(),4)</f>
        <v>2.6591999999999998</v>
      </c>
      <c r="J72" s="8" t="s">
        <v>26</v>
      </c>
    </row>
    <row r="73" spans="2:11" ht="17.25" x14ac:dyDescent="0.25">
      <c r="B73" s="6" t="s">
        <v>79</v>
      </c>
      <c r="C73" s="69" t="s">
        <v>153</v>
      </c>
      <c r="D73" s="59">
        <f>ROUND(D70-D70^3/(40*D11^2)+D70^5/(3456*D11^4),3)</f>
        <v>201.18199999999999</v>
      </c>
      <c r="E73" s="62" t="s">
        <v>4</v>
      </c>
      <c r="G73" s="6" t="s">
        <v>79</v>
      </c>
      <c r="H73" s="69" t="s">
        <v>144</v>
      </c>
      <c r="I73" s="59">
        <f>ROUND(I70-I70^3/(40*O11^2)+I70^5/(3456*O11^4),3)</f>
        <v>107.5</v>
      </c>
      <c r="J73" s="62" t="s">
        <v>4</v>
      </c>
    </row>
    <row r="74" spans="2:11" ht="17.25" x14ac:dyDescent="0.25">
      <c r="B74" s="6" t="s">
        <v>81</v>
      </c>
      <c r="C74" s="69" t="s">
        <v>154</v>
      </c>
      <c r="D74" s="59">
        <f>ROUND(D70^2/(6*D11)-D70^4/(336*D11^3)+D70^6/(42240*D11^5),3)</f>
        <v>9.6489999999999991</v>
      </c>
      <c r="E74" s="62" t="s">
        <v>4</v>
      </c>
      <c r="G74" s="6" t="s">
        <v>81</v>
      </c>
      <c r="H74" s="69" t="s">
        <v>143</v>
      </c>
      <c r="I74" s="59">
        <f>ROUND(I70^2/(6*O11)-I70^4/(336*O11^3)+I70^6/(42240*O11^5),3)</f>
        <v>1.4970000000000001</v>
      </c>
      <c r="J74" s="62" t="s">
        <v>4</v>
      </c>
    </row>
    <row r="75" spans="2:11" ht="18" customHeight="1" x14ac:dyDescent="0.25">
      <c r="B75" s="57" t="s">
        <v>82</v>
      </c>
      <c r="C75" s="69" t="s">
        <v>155</v>
      </c>
      <c r="D75" s="59">
        <f>ROUND(D70/2-D70^3/(240*D11^2),3)</f>
        <v>100.73</v>
      </c>
      <c r="E75" s="62" t="s">
        <v>4</v>
      </c>
      <c r="G75" s="57" t="s">
        <v>82</v>
      </c>
      <c r="H75" s="69" t="s">
        <v>142</v>
      </c>
      <c r="I75" s="59">
        <f>ROUND(I70/2-I70^3/(240*O11^2),3)</f>
        <v>53.756</v>
      </c>
      <c r="J75" s="62" t="s">
        <v>4</v>
      </c>
    </row>
    <row r="76" spans="2:11" ht="17.25" x14ac:dyDescent="0.25">
      <c r="B76" s="57" t="s">
        <v>86</v>
      </c>
      <c r="C76" s="69" t="s">
        <v>156</v>
      </c>
      <c r="D76" s="58">
        <f>(D70^2/(24*D11)-D70^4/(2688*D11^3))</f>
        <v>2.4139171355600535</v>
      </c>
      <c r="E76" s="62" t="s">
        <v>4</v>
      </c>
      <c r="G76" s="57" t="s">
        <v>86</v>
      </c>
      <c r="H76" s="69" t="s">
        <v>141</v>
      </c>
      <c r="I76" s="59">
        <f>(I70^2/(24*O11)-I70^4/(2688*O11^3))</f>
        <v>0.37424290903246943</v>
      </c>
      <c r="J76" s="62" t="s">
        <v>4</v>
      </c>
    </row>
    <row r="77" spans="2:11" ht="18" thickBot="1" x14ac:dyDescent="0.3">
      <c r="B77" s="72" t="s">
        <v>50</v>
      </c>
      <c r="C77" s="70" t="s">
        <v>139</v>
      </c>
      <c r="D77" s="63">
        <f>ROUND(D75+D11*TAN(D67/2*PI()/200)-D76/TAN(D67*PI()/200)+D91/SIN(D67*PI()/200),3)</f>
        <v>246.857</v>
      </c>
      <c r="E77" s="64" t="s">
        <v>4</v>
      </c>
      <c r="G77" s="72" t="s">
        <v>50</v>
      </c>
      <c r="H77" s="70" t="s">
        <v>140</v>
      </c>
      <c r="I77" s="63">
        <f>ROUND(I75+O11*TAN(D65/2*PI()/200)-I76/TAN(D65*PI()/200)+T40/SIN(D65*PI()/200),3)</f>
        <v>158.42099999999999</v>
      </c>
      <c r="J77" s="64" t="s">
        <v>4</v>
      </c>
    </row>
    <row r="78" spans="2:11" ht="15.75" thickBot="1" x14ac:dyDescent="0.3"/>
    <row r="79" spans="2:11" ht="17.25" x14ac:dyDescent="0.3">
      <c r="B79" s="14" t="s">
        <v>105</v>
      </c>
      <c r="C79" s="29" t="s">
        <v>138</v>
      </c>
      <c r="D79" s="16">
        <f>D60-D66</f>
        <v>405.27700000001221</v>
      </c>
      <c r="E79" s="17" t="s">
        <v>4</v>
      </c>
    </row>
    <row r="80" spans="2:11" ht="15.75" thickBot="1" x14ac:dyDescent="0.3">
      <c r="B80" s="73" t="s">
        <v>146</v>
      </c>
      <c r="C80" s="66" t="s">
        <v>104</v>
      </c>
      <c r="D80" s="74">
        <f>ROUND(D79-D77-I77,3)</f>
        <v>-1E-3</v>
      </c>
      <c r="E80" s="13" t="s">
        <v>4</v>
      </c>
    </row>
    <row r="81" spans="2:10" ht="15.75" thickBot="1" x14ac:dyDescent="0.3">
      <c r="D81" s="68"/>
    </row>
    <row r="82" spans="2:10" ht="15.75" thickBot="1" x14ac:dyDescent="0.3">
      <c r="B82" s="130" t="s">
        <v>157</v>
      </c>
      <c r="C82" s="131"/>
      <c r="D82" s="131"/>
      <c r="E82" s="132"/>
      <c r="G82" s="130" t="s">
        <v>190</v>
      </c>
      <c r="H82" s="131"/>
      <c r="I82" s="131"/>
      <c r="J82" s="132"/>
    </row>
    <row r="83" spans="2:10" ht="15.75" thickBot="1" x14ac:dyDescent="0.3">
      <c r="B83" s="133" t="s">
        <v>194</v>
      </c>
      <c r="C83" s="134"/>
      <c r="D83" s="134"/>
      <c r="E83" s="135"/>
      <c r="G83" s="133" t="s">
        <v>195</v>
      </c>
      <c r="H83" s="134"/>
      <c r="I83" s="134"/>
      <c r="J83" s="135"/>
    </row>
    <row r="84" spans="2:10" ht="17.25" x14ac:dyDescent="0.25">
      <c r="B84" s="6" t="s">
        <v>39</v>
      </c>
      <c r="C84" s="33" t="s">
        <v>161</v>
      </c>
      <c r="D84" s="58">
        <f>I41</f>
        <v>180</v>
      </c>
      <c r="E84" s="62" t="s">
        <v>4</v>
      </c>
      <c r="G84" s="6" t="s">
        <v>39</v>
      </c>
      <c r="H84" s="33" t="s">
        <v>174</v>
      </c>
      <c r="I84" s="58">
        <f>I70</f>
        <v>107.51900000000001</v>
      </c>
      <c r="J84" s="62" t="s">
        <v>4</v>
      </c>
    </row>
    <row r="85" spans="2:10" ht="17.25" customHeight="1" x14ac:dyDescent="0.35">
      <c r="B85" s="6" t="s">
        <v>84</v>
      </c>
      <c r="C85" s="33" t="s">
        <v>162</v>
      </c>
      <c r="D85" s="59">
        <f>I32</f>
        <v>8.1734000000000009</v>
      </c>
      <c r="E85" s="62" t="s">
        <v>26</v>
      </c>
      <c r="G85" s="6" t="s">
        <v>84</v>
      </c>
      <c r="H85" s="33" t="s">
        <v>175</v>
      </c>
      <c r="I85" s="59">
        <f>I72</f>
        <v>2.6591999999999998</v>
      </c>
      <c r="J85" s="62" t="s">
        <v>26</v>
      </c>
    </row>
    <row r="86" spans="2:10" ht="17.25" x14ac:dyDescent="0.25">
      <c r="B86" s="6" t="s">
        <v>79</v>
      </c>
      <c r="C86" s="65" t="s">
        <v>163</v>
      </c>
      <c r="D86" s="59">
        <f>I33</f>
        <v>179.70400000000001</v>
      </c>
      <c r="E86" s="62" t="s">
        <v>4</v>
      </c>
      <c r="G86" s="6" t="s">
        <v>79</v>
      </c>
      <c r="H86" s="65" t="s">
        <v>176</v>
      </c>
      <c r="I86" s="59">
        <f>I73</f>
        <v>107.5</v>
      </c>
      <c r="J86" s="62" t="s">
        <v>4</v>
      </c>
    </row>
    <row r="87" spans="2:10" ht="17.25" x14ac:dyDescent="0.25">
      <c r="B87" s="6" t="s">
        <v>81</v>
      </c>
      <c r="C87" s="65" t="s">
        <v>164</v>
      </c>
      <c r="D87" s="59">
        <f>I34</f>
        <v>7.694</v>
      </c>
      <c r="E87" s="62" t="s">
        <v>4</v>
      </c>
      <c r="G87" s="6" t="s">
        <v>81</v>
      </c>
      <c r="H87" s="65" t="s">
        <v>177</v>
      </c>
      <c r="I87" s="59">
        <f>I74</f>
        <v>1.4970000000000001</v>
      </c>
      <c r="J87" s="62" t="s">
        <v>4</v>
      </c>
    </row>
    <row r="88" spans="2:10" ht="16.5" x14ac:dyDescent="0.25">
      <c r="B88" s="6" t="s">
        <v>85</v>
      </c>
      <c r="C88" s="65" t="s">
        <v>45</v>
      </c>
      <c r="D88" s="59">
        <f>I35</f>
        <v>126180</v>
      </c>
      <c r="E88" s="62"/>
      <c r="G88" s="6" t="s">
        <v>85</v>
      </c>
      <c r="H88" s="65" t="s">
        <v>45</v>
      </c>
      <c r="I88" s="59">
        <f>I84*O11</f>
        <v>138376.95300000001</v>
      </c>
      <c r="J88" s="62"/>
    </row>
    <row r="89" spans="2:10" ht="17.25" x14ac:dyDescent="0.25">
      <c r="B89" s="6"/>
      <c r="C89" s="65" t="s">
        <v>167</v>
      </c>
      <c r="D89" s="59">
        <f>I36</f>
        <v>355.21800000000002</v>
      </c>
      <c r="E89" s="62"/>
      <c r="G89" s="6"/>
      <c r="H89" s="65" t="s">
        <v>187</v>
      </c>
      <c r="I89" s="59">
        <f>ROUND(SQRT(I88),3)</f>
        <v>371.99099999999999</v>
      </c>
      <c r="J89" s="62"/>
    </row>
    <row r="90" spans="2:10" ht="17.25" x14ac:dyDescent="0.25">
      <c r="B90" s="57" t="s">
        <v>82</v>
      </c>
      <c r="C90" s="65" t="s">
        <v>165</v>
      </c>
      <c r="D90" s="59">
        <f>I38</f>
        <v>89.950999999999993</v>
      </c>
      <c r="E90" s="62" t="s">
        <v>4</v>
      </c>
      <c r="G90" s="57" t="s">
        <v>82</v>
      </c>
      <c r="H90" s="65" t="s">
        <v>178</v>
      </c>
      <c r="I90" s="59">
        <f>I75</f>
        <v>53.756</v>
      </c>
      <c r="J90" s="62" t="s">
        <v>4</v>
      </c>
    </row>
    <row r="91" spans="2:10" ht="18" thickBot="1" x14ac:dyDescent="0.3">
      <c r="B91" s="11" t="s">
        <v>150</v>
      </c>
      <c r="C91" s="66" t="s">
        <v>166</v>
      </c>
      <c r="D91" s="60">
        <f>I40</f>
        <v>1.9246865344422024</v>
      </c>
      <c r="E91" s="64" t="s">
        <v>4</v>
      </c>
      <c r="G91" s="11" t="s">
        <v>150</v>
      </c>
      <c r="H91" s="66" t="s">
        <v>179</v>
      </c>
      <c r="I91" s="58">
        <f>I76</f>
        <v>0.37424290903246943</v>
      </c>
      <c r="J91" s="64" t="s">
        <v>4</v>
      </c>
    </row>
    <row r="92" spans="2:10" ht="15.75" thickBot="1" x14ac:dyDescent="0.3">
      <c r="B92" s="133" t="s">
        <v>193</v>
      </c>
      <c r="C92" s="134"/>
      <c r="D92" s="134"/>
      <c r="E92" s="135"/>
      <c r="G92" s="133" t="s">
        <v>196</v>
      </c>
      <c r="H92" s="134"/>
      <c r="I92" s="134"/>
      <c r="J92" s="135"/>
    </row>
    <row r="93" spans="2:10" ht="17.25" x14ac:dyDescent="0.25">
      <c r="B93" s="6" t="s">
        <v>39</v>
      </c>
      <c r="C93" s="33" t="s">
        <v>151</v>
      </c>
      <c r="D93" s="58">
        <f>ROUND(D70,3)</f>
        <v>201.59800000000001</v>
      </c>
      <c r="E93" s="62" t="s">
        <v>4</v>
      </c>
      <c r="G93" s="6" t="s">
        <v>39</v>
      </c>
      <c r="H93" s="33" t="s">
        <v>168</v>
      </c>
      <c r="I93" s="58">
        <f>T41</f>
        <v>96</v>
      </c>
      <c r="J93" s="62" t="s">
        <v>4</v>
      </c>
    </row>
    <row r="94" spans="2:10" ht="18" x14ac:dyDescent="0.35">
      <c r="B94" s="6" t="s">
        <v>84</v>
      </c>
      <c r="C94" s="33" t="s">
        <v>172</v>
      </c>
      <c r="D94" s="59">
        <f>D72</f>
        <v>9.1540999999999997</v>
      </c>
      <c r="E94" s="62" t="s">
        <v>26</v>
      </c>
      <c r="G94" s="6" t="s">
        <v>84</v>
      </c>
      <c r="H94" s="33" t="s">
        <v>169</v>
      </c>
      <c r="I94" s="59">
        <f>T32</f>
        <v>2.3742999999999999</v>
      </c>
      <c r="J94" s="62" t="s">
        <v>26</v>
      </c>
    </row>
    <row r="95" spans="2:10" ht="17.25" x14ac:dyDescent="0.25">
      <c r="B95" s="6" t="s">
        <v>79</v>
      </c>
      <c r="C95" s="54" t="s">
        <v>153</v>
      </c>
      <c r="D95" s="59">
        <f>D73</f>
        <v>201.18199999999999</v>
      </c>
      <c r="E95" s="62" t="s">
        <v>4</v>
      </c>
      <c r="G95" s="6" t="s">
        <v>79</v>
      </c>
      <c r="H95" s="65" t="s">
        <v>170</v>
      </c>
      <c r="I95" s="59">
        <f>T33</f>
        <v>95.986999999999995</v>
      </c>
      <c r="J95" s="62" t="s">
        <v>4</v>
      </c>
    </row>
    <row r="96" spans="2:10" ht="17.25" x14ac:dyDescent="0.25">
      <c r="B96" s="6" t="s">
        <v>81</v>
      </c>
      <c r="C96" s="54" t="s">
        <v>171</v>
      </c>
      <c r="D96" s="59">
        <f>D74</f>
        <v>9.6489999999999991</v>
      </c>
      <c r="E96" s="62" t="s">
        <v>4</v>
      </c>
      <c r="G96" s="6" t="s">
        <v>81</v>
      </c>
      <c r="H96" s="65" t="s">
        <v>171</v>
      </c>
      <c r="I96" s="59">
        <f>T34</f>
        <v>1.1930000000000001</v>
      </c>
      <c r="J96" s="62" t="s">
        <v>4</v>
      </c>
    </row>
    <row r="97" spans="2:10" ht="16.5" x14ac:dyDescent="0.25">
      <c r="B97" s="6" t="s">
        <v>85</v>
      </c>
      <c r="C97" s="54" t="s">
        <v>45</v>
      </c>
      <c r="D97" s="59">
        <f>D93*D11</f>
        <v>141320.198</v>
      </c>
      <c r="E97" s="62"/>
      <c r="G97" s="6" t="s">
        <v>85</v>
      </c>
      <c r="H97" s="65" t="s">
        <v>45</v>
      </c>
      <c r="I97" s="59">
        <f>I93*O11</f>
        <v>123552</v>
      </c>
      <c r="J97" s="62"/>
    </row>
    <row r="98" spans="2:10" ht="17.25" x14ac:dyDescent="0.25">
      <c r="B98" s="6"/>
      <c r="C98" s="54" t="s">
        <v>173</v>
      </c>
      <c r="D98" s="59">
        <f>ROUND(SQRT(D97),3)</f>
        <v>375.92599999999999</v>
      </c>
      <c r="E98" s="62"/>
      <c r="G98" s="6"/>
      <c r="H98" s="65" t="s">
        <v>186</v>
      </c>
      <c r="I98" s="59">
        <f>ROUND(SQRT(I97),3)</f>
        <v>351.5</v>
      </c>
      <c r="J98" s="62"/>
    </row>
    <row r="99" spans="2:10" ht="17.25" x14ac:dyDescent="0.25">
      <c r="B99" s="57" t="s">
        <v>82</v>
      </c>
      <c r="C99" s="54" t="s">
        <v>155</v>
      </c>
      <c r="D99" s="59">
        <f>D75</f>
        <v>100.73</v>
      </c>
      <c r="E99" s="62" t="s">
        <v>4</v>
      </c>
      <c r="G99" s="57" t="s">
        <v>82</v>
      </c>
      <c r="H99" s="65" t="s">
        <v>180</v>
      </c>
      <c r="I99" s="59">
        <f>T38</f>
        <v>47.997999999999998</v>
      </c>
      <c r="J99" s="62" t="s">
        <v>4</v>
      </c>
    </row>
    <row r="100" spans="2:10" ht="18" thickBot="1" x14ac:dyDescent="0.3">
      <c r="B100" s="11" t="s">
        <v>150</v>
      </c>
      <c r="C100" s="55" t="s">
        <v>156</v>
      </c>
      <c r="D100" s="60">
        <f>D76</f>
        <v>2.4139171355600535</v>
      </c>
      <c r="E100" s="64" t="s">
        <v>4</v>
      </c>
      <c r="G100" s="11" t="s">
        <v>150</v>
      </c>
      <c r="H100" s="66" t="s">
        <v>181</v>
      </c>
      <c r="I100" s="58">
        <f>T40</f>
        <v>0.29835347591717098</v>
      </c>
      <c r="J100" s="64" t="s">
        <v>4</v>
      </c>
    </row>
    <row r="101" spans="2:10" ht="15.75" thickBot="1" x14ac:dyDescent="0.3">
      <c r="B101" s="136" t="s">
        <v>191</v>
      </c>
      <c r="C101" s="137"/>
      <c r="D101" s="137"/>
      <c r="E101" s="138"/>
      <c r="G101" s="136" t="s">
        <v>192</v>
      </c>
      <c r="H101" s="137"/>
      <c r="I101" s="137"/>
      <c r="J101" s="138"/>
    </row>
    <row r="102" spans="2:10" ht="17.25" x14ac:dyDescent="0.3">
      <c r="B102" s="14" t="s">
        <v>54</v>
      </c>
      <c r="C102" s="15" t="s">
        <v>158</v>
      </c>
      <c r="D102" s="61">
        <f>D67-D85-D94</f>
        <v>8.9632000000000005</v>
      </c>
      <c r="E102" s="17" t="s">
        <v>26</v>
      </c>
      <c r="G102" s="14" t="s">
        <v>54</v>
      </c>
      <c r="H102" s="15" t="s">
        <v>182</v>
      </c>
      <c r="I102" s="71">
        <f>D65-I85-I94</f>
        <v>5.3413000000000004</v>
      </c>
      <c r="J102" s="17" t="s">
        <v>26</v>
      </c>
    </row>
    <row r="103" spans="2:10" ht="17.25" x14ac:dyDescent="0.25">
      <c r="B103" s="23" t="s">
        <v>50</v>
      </c>
      <c r="C103" s="52" t="s">
        <v>202</v>
      </c>
      <c r="D103" s="59">
        <f>ROUND(D90+D11*TAN(D67*PI()/200/2)-D91/TAN(D67*PI()/200)+D100/SIN(D67*PI()/200),3)</f>
        <v>238.41300000000001</v>
      </c>
      <c r="E103" s="8" t="s">
        <v>4</v>
      </c>
      <c r="G103" s="23" t="s">
        <v>50</v>
      </c>
      <c r="H103" s="65" t="s">
        <v>140</v>
      </c>
      <c r="I103" s="59">
        <f>I77</f>
        <v>158.42099999999999</v>
      </c>
      <c r="J103" s="8" t="s">
        <v>4</v>
      </c>
    </row>
    <row r="104" spans="2:10" ht="17.25" x14ac:dyDescent="0.25">
      <c r="B104" s="23" t="s">
        <v>50</v>
      </c>
      <c r="C104" s="52" t="s">
        <v>139</v>
      </c>
      <c r="D104" s="59">
        <f>D77</f>
        <v>246.857</v>
      </c>
      <c r="E104" s="8" t="s">
        <v>4</v>
      </c>
      <c r="G104" s="23" t="s">
        <v>50</v>
      </c>
      <c r="H104" s="65" t="s">
        <v>183</v>
      </c>
      <c r="I104" s="59">
        <f>ROUND(I99+O11*TAN(D65/2*PI()/200)-I100/TAN(D65*PI()/200)+I91/SIN(D65*PI()/200),3)</f>
        <v>153.59200000000001</v>
      </c>
      <c r="J104" s="8" t="s">
        <v>4</v>
      </c>
    </row>
    <row r="105" spans="2:10" ht="17.25" x14ac:dyDescent="0.3">
      <c r="B105" s="6" t="s">
        <v>56</v>
      </c>
      <c r="C105" s="7" t="s">
        <v>184</v>
      </c>
      <c r="D105" s="59">
        <f>ROUND(D11*D102*PI()/200,3)</f>
        <v>98.695999999999998</v>
      </c>
      <c r="E105" s="8" t="s">
        <v>4</v>
      </c>
      <c r="G105" s="6" t="s">
        <v>56</v>
      </c>
      <c r="H105" s="7" t="s">
        <v>159</v>
      </c>
      <c r="I105" s="59">
        <f>ROUND(O11*I102*PI()/200,3)</f>
        <v>107.98099999999999</v>
      </c>
      <c r="J105" s="8" t="s">
        <v>4</v>
      </c>
    </row>
    <row r="106" spans="2:10" ht="18" thickBot="1" x14ac:dyDescent="0.35">
      <c r="B106" s="11" t="s">
        <v>52</v>
      </c>
      <c r="C106" s="24" t="s">
        <v>160</v>
      </c>
      <c r="D106" s="60">
        <f>D84+D105+D93</f>
        <v>480.29400000000004</v>
      </c>
      <c r="E106" s="13" t="s">
        <v>4</v>
      </c>
      <c r="G106" s="11" t="s">
        <v>52</v>
      </c>
      <c r="H106" s="24" t="s">
        <v>185</v>
      </c>
      <c r="I106" s="60">
        <f>I84+I105+I93</f>
        <v>311.5</v>
      </c>
      <c r="J106" s="13" t="s">
        <v>4</v>
      </c>
    </row>
    <row r="107" spans="2:10" ht="15.75" thickBot="1" x14ac:dyDescent="0.3"/>
    <row r="108" spans="2:10" ht="15.75" thickBot="1" x14ac:dyDescent="0.3">
      <c r="B108" s="139" t="s">
        <v>75</v>
      </c>
      <c r="C108" s="140"/>
      <c r="D108" s="140"/>
      <c r="E108" s="141"/>
      <c r="G108" s="139" t="s">
        <v>75</v>
      </c>
      <c r="H108" s="140"/>
      <c r="I108" s="140"/>
      <c r="J108" s="141"/>
    </row>
    <row r="109" spans="2:10" x14ac:dyDescent="0.25">
      <c r="B109" s="28" t="s">
        <v>62</v>
      </c>
      <c r="C109" s="29" t="s">
        <v>60</v>
      </c>
      <c r="D109" s="45">
        <f>I54+I49*10^-3-D103*10^-3</f>
        <v>121.443594</v>
      </c>
      <c r="E109" s="17" t="s">
        <v>61</v>
      </c>
      <c r="G109" s="28" t="s">
        <v>62</v>
      </c>
      <c r="H109" s="29" t="s">
        <v>189</v>
      </c>
      <c r="I109" s="45">
        <f>D112</f>
        <v>121.92388800000002</v>
      </c>
      <c r="J109" s="17" t="s">
        <v>61</v>
      </c>
    </row>
    <row r="110" spans="2:10" x14ac:dyDescent="0.25">
      <c r="B110" s="6" t="s">
        <v>72</v>
      </c>
      <c r="C110" s="4" t="s">
        <v>69</v>
      </c>
      <c r="D110" s="30">
        <f>D109+D84*10^-3</f>
        <v>121.62359400000001</v>
      </c>
      <c r="E110" s="8" t="s">
        <v>61</v>
      </c>
      <c r="G110" s="6" t="s">
        <v>72</v>
      </c>
      <c r="H110" s="4" t="s">
        <v>69</v>
      </c>
      <c r="I110" s="30">
        <f>I109+I84*10^-3</f>
        <v>122.03140700000002</v>
      </c>
      <c r="J110" s="8" t="s">
        <v>61</v>
      </c>
    </row>
    <row r="111" spans="2:10" x14ac:dyDescent="0.25">
      <c r="B111" s="6" t="s">
        <v>73</v>
      </c>
      <c r="C111" s="4" t="s">
        <v>70</v>
      </c>
      <c r="D111" s="30">
        <f>D110+D105*10^-3</f>
        <v>121.72229000000002</v>
      </c>
      <c r="E111" s="8" t="s">
        <v>61</v>
      </c>
      <c r="G111" s="6" t="s">
        <v>73</v>
      </c>
      <c r="H111" s="4" t="s">
        <v>70</v>
      </c>
      <c r="I111" s="30">
        <f>I110+I105*10^-3</f>
        <v>122.13938800000001</v>
      </c>
      <c r="J111" s="8" t="s">
        <v>61</v>
      </c>
    </row>
    <row r="112" spans="2:10" ht="15.75" thickBot="1" x14ac:dyDescent="0.3">
      <c r="B112" s="11" t="s">
        <v>74</v>
      </c>
      <c r="C112" s="24" t="s">
        <v>188</v>
      </c>
      <c r="D112" s="31">
        <f>D111+D93*10^-3</f>
        <v>121.92388800000002</v>
      </c>
      <c r="E112" s="13" t="s">
        <v>61</v>
      </c>
      <c r="G112" s="11" t="s">
        <v>74</v>
      </c>
      <c r="H112" s="24" t="s">
        <v>103</v>
      </c>
      <c r="I112" s="31">
        <f>I111+I93*10^-3</f>
        <v>122.23538800000001</v>
      </c>
      <c r="J112" s="13" t="s">
        <v>61</v>
      </c>
    </row>
    <row r="113" spans="2:10" ht="15.75" thickBot="1" x14ac:dyDescent="0.3"/>
    <row r="114" spans="2:10" ht="15.75" thickBot="1" x14ac:dyDescent="0.3">
      <c r="B114" s="142" t="s">
        <v>207</v>
      </c>
      <c r="C114" s="143"/>
      <c r="D114" s="143"/>
      <c r="E114" s="144"/>
    </row>
    <row r="115" spans="2:10" ht="15.75" thickBot="1" x14ac:dyDescent="0.3"/>
    <row r="116" spans="2:10" ht="15.75" thickBot="1" x14ac:dyDescent="0.3">
      <c r="B116" s="139" t="s">
        <v>201</v>
      </c>
      <c r="C116" s="140"/>
      <c r="D116" s="140"/>
      <c r="E116" s="141"/>
      <c r="G116" s="139" t="s">
        <v>203</v>
      </c>
      <c r="H116" s="140"/>
      <c r="I116" s="140"/>
      <c r="J116" s="141"/>
    </row>
    <row r="117" spans="2:10" ht="17.25" x14ac:dyDescent="0.3">
      <c r="B117" s="14" t="s">
        <v>0</v>
      </c>
      <c r="C117" s="15" t="s">
        <v>107</v>
      </c>
      <c r="D117" s="44">
        <f>D9</f>
        <v>120</v>
      </c>
      <c r="E117" s="17" t="s">
        <v>3</v>
      </c>
      <c r="G117" s="14" t="s">
        <v>0</v>
      </c>
      <c r="H117" s="15" t="s">
        <v>107</v>
      </c>
      <c r="I117" s="44">
        <v>120</v>
      </c>
      <c r="J117" s="17" t="s">
        <v>3</v>
      </c>
    </row>
    <row r="118" spans="2:10" ht="17.25" x14ac:dyDescent="0.3">
      <c r="B118" s="6" t="s">
        <v>113</v>
      </c>
      <c r="C118" s="7" t="s">
        <v>108</v>
      </c>
      <c r="D118" s="47">
        <f>D117-40</f>
        <v>80</v>
      </c>
      <c r="E118" s="8" t="s">
        <v>3</v>
      </c>
      <c r="G118" s="6" t="s">
        <v>113</v>
      </c>
      <c r="H118" s="7" t="s">
        <v>108</v>
      </c>
      <c r="I118" s="47">
        <f>I117-40</f>
        <v>80</v>
      </c>
      <c r="J118" s="8" t="s">
        <v>3</v>
      </c>
    </row>
    <row r="119" spans="2:10" x14ac:dyDescent="0.25">
      <c r="B119" s="6" t="s">
        <v>199</v>
      </c>
      <c r="C119" s="4" t="s">
        <v>2</v>
      </c>
      <c r="D119" s="9">
        <f>D11-D64</f>
        <v>697</v>
      </c>
      <c r="E119" s="8" t="s">
        <v>4</v>
      </c>
      <c r="G119" s="6" t="s">
        <v>199</v>
      </c>
      <c r="H119" s="4" t="s">
        <v>2</v>
      </c>
      <c r="I119" s="9">
        <f>O11+D64</f>
        <v>1291</v>
      </c>
      <c r="J119" s="8" t="s">
        <v>4</v>
      </c>
    </row>
    <row r="120" spans="2:10" ht="17.25" x14ac:dyDescent="0.3">
      <c r="B120" s="6" t="s">
        <v>8</v>
      </c>
      <c r="C120" s="7" t="s">
        <v>109</v>
      </c>
      <c r="D120" s="9">
        <f>ROUND((11.8*D117^2)/D119,1)</f>
        <v>243.8</v>
      </c>
      <c r="E120" s="8" t="s">
        <v>5</v>
      </c>
      <c r="G120" s="6" t="s">
        <v>8</v>
      </c>
      <c r="H120" s="7" t="s">
        <v>109</v>
      </c>
      <c r="I120" s="9">
        <f>ROUND((11.8*I117^2)/I119,1)</f>
        <v>131.6</v>
      </c>
      <c r="J120" s="8" t="s">
        <v>5</v>
      </c>
    </row>
    <row r="121" spans="2:10" ht="17.25" x14ac:dyDescent="0.3">
      <c r="B121" s="6" t="s">
        <v>9</v>
      </c>
      <c r="C121" s="7" t="s">
        <v>110</v>
      </c>
      <c r="D121" s="9">
        <f>ROUND((7.1*D117^2)/D119,0)</f>
        <v>147</v>
      </c>
      <c r="E121" s="8" t="s">
        <v>5</v>
      </c>
      <c r="G121" s="6" t="s">
        <v>9</v>
      </c>
      <c r="H121" s="7" t="s">
        <v>110</v>
      </c>
      <c r="I121" s="9">
        <f>ROUND((7.1*I117^2)/I119,0)</f>
        <v>79</v>
      </c>
      <c r="J121" s="8" t="s">
        <v>5</v>
      </c>
    </row>
    <row r="122" spans="2:10" ht="17.25" x14ac:dyDescent="0.3">
      <c r="B122" s="6" t="s">
        <v>8</v>
      </c>
      <c r="C122" s="7" t="s">
        <v>111</v>
      </c>
      <c r="D122" s="9">
        <f>ROUND(11.8*D118^2/D119,1)</f>
        <v>108.4</v>
      </c>
      <c r="E122" s="8" t="s">
        <v>5</v>
      </c>
      <c r="G122" s="6" t="s">
        <v>8</v>
      </c>
      <c r="H122" s="7" t="s">
        <v>111</v>
      </c>
      <c r="I122" s="9">
        <f>ROUND(11.8*I118^2/I119,1)</f>
        <v>58.5</v>
      </c>
      <c r="J122" s="8" t="s">
        <v>5</v>
      </c>
    </row>
    <row r="123" spans="2:10" ht="17.25" x14ac:dyDescent="0.3">
      <c r="B123" s="6" t="s">
        <v>9</v>
      </c>
      <c r="C123" s="7" t="s">
        <v>112</v>
      </c>
      <c r="D123" s="9">
        <f>ROUND(7.1*D118^2/D119,0)</f>
        <v>65</v>
      </c>
      <c r="E123" s="8" t="s">
        <v>5</v>
      </c>
      <c r="G123" s="6" t="s">
        <v>9</v>
      </c>
      <c r="H123" s="7" t="s">
        <v>112</v>
      </c>
      <c r="I123" s="9">
        <f>ROUND(7.1*I118^2/I119,0)</f>
        <v>35</v>
      </c>
      <c r="J123" s="8" t="s">
        <v>5</v>
      </c>
    </row>
    <row r="124" spans="2:10" x14ac:dyDescent="0.25">
      <c r="B124" s="6" t="s">
        <v>20</v>
      </c>
      <c r="C124" s="4" t="s">
        <v>21</v>
      </c>
      <c r="D124" s="9">
        <f>D16</f>
        <v>150</v>
      </c>
      <c r="E124" s="8" t="s">
        <v>5</v>
      </c>
      <c r="G124" s="6" t="s">
        <v>20</v>
      </c>
      <c r="H124" s="4" t="s">
        <v>21</v>
      </c>
      <c r="I124" s="9">
        <f>O16</f>
        <v>80</v>
      </c>
      <c r="J124" s="8" t="s">
        <v>5</v>
      </c>
    </row>
    <row r="125" spans="2:10" x14ac:dyDescent="0.25">
      <c r="B125" s="6" t="s">
        <v>10</v>
      </c>
      <c r="C125" s="7" t="s">
        <v>6</v>
      </c>
      <c r="D125" s="9">
        <f>CEILING(D120-D124,1)</f>
        <v>94</v>
      </c>
      <c r="E125" s="8" t="s">
        <v>5</v>
      </c>
      <c r="G125" s="6" t="s">
        <v>10</v>
      </c>
      <c r="H125" s="7" t="s">
        <v>6</v>
      </c>
      <c r="I125" s="9">
        <f>CEILING(I120-I124,1)</f>
        <v>52</v>
      </c>
      <c r="J125" s="8" t="s">
        <v>5</v>
      </c>
    </row>
    <row r="126" spans="2:10" x14ac:dyDescent="0.25">
      <c r="B126" s="6" t="s">
        <v>11</v>
      </c>
      <c r="C126" s="7" t="s">
        <v>7</v>
      </c>
      <c r="D126" s="9">
        <f>CEILING(D124-D122,1)</f>
        <v>42</v>
      </c>
      <c r="E126" s="8" t="s">
        <v>5</v>
      </c>
      <c r="G126" s="6" t="s">
        <v>11</v>
      </c>
      <c r="H126" s="7" t="s">
        <v>7</v>
      </c>
      <c r="I126" s="9">
        <f>CEILING(I124-I122,1)</f>
        <v>22</v>
      </c>
      <c r="J126" s="8" t="s">
        <v>5</v>
      </c>
    </row>
    <row r="127" spans="2:10" ht="17.25" x14ac:dyDescent="0.3">
      <c r="B127" s="6" t="s">
        <v>17</v>
      </c>
      <c r="C127" s="7" t="s">
        <v>14</v>
      </c>
      <c r="D127" s="40">
        <f>ROUND((10*D117*D125)/1000,3)</f>
        <v>112.8</v>
      </c>
      <c r="E127" s="8" t="s">
        <v>4</v>
      </c>
      <c r="G127" s="6" t="s">
        <v>17</v>
      </c>
      <c r="H127" s="7" t="s">
        <v>14</v>
      </c>
      <c r="I127" s="40">
        <f>ROUND((10*I117*I125)/1000,3)</f>
        <v>62.4</v>
      </c>
      <c r="J127" s="8" t="s">
        <v>4</v>
      </c>
    </row>
    <row r="128" spans="2:10" ht="17.25" x14ac:dyDescent="0.3">
      <c r="B128" s="6" t="s">
        <v>118</v>
      </c>
      <c r="C128" s="7" t="s">
        <v>15</v>
      </c>
      <c r="D128" s="40">
        <f>0.7*SQRT(D119)</f>
        <v>18.480530295421719</v>
      </c>
      <c r="E128" s="8" t="s">
        <v>4</v>
      </c>
      <c r="G128" s="6" t="s">
        <v>118</v>
      </c>
      <c r="H128" s="7" t="s">
        <v>15</v>
      </c>
      <c r="I128" s="40">
        <f>0.7*SQRT(I119)</f>
        <v>25.151341912510354</v>
      </c>
      <c r="J128" s="8" t="s">
        <v>4</v>
      </c>
    </row>
    <row r="129" spans="2:10" ht="18" thickBot="1" x14ac:dyDescent="0.35">
      <c r="B129" s="11" t="s">
        <v>18</v>
      </c>
      <c r="C129" s="38" t="s">
        <v>16</v>
      </c>
      <c r="D129" s="18">
        <f>CEILING(10*D117*D124/1000,1)</f>
        <v>180</v>
      </c>
      <c r="E129" s="13" t="s">
        <v>4</v>
      </c>
      <c r="G129" s="11" t="s">
        <v>18</v>
      </c>
      <c r="H129" s="38" t="s">
        <v>16</v>
      </c>
      <c r="I129" s="18">
        <f>CEILING(10*I117*I124/1000,1)</f>
        <v>96</v>
      </c>
      <c r="J129" s="13" t="s">
        <v>4</v>
      </c>
    </row>
    <row r="130" spans="2:10" ht="15.75" thickBot="1" x14ac:dyDescent="0.3">
      <c r="B130" s="133" t="s">
        <v>194</v>
      </c>
      <c r="C130" s="145"/>
      <c r="D130" s="145"/>
      <c r="E130" s="146"/>
      <c r="G130" s="133" t="s">
        <v>195</v>
      </c>
      <c r="H130" s="145"/>
      <c r="I130" s="145"/>
      <c r="J130" s="146"/>
    </row>
    <row r="131" spans="2:10" ht="17.25" x14ac:dyDescent="0.25">
      <c r="B131" s="14" t="s">
        <v>200</v>
      </c>
      <c r="C131" s="75" t="s">
        <v>166</v>
      </c>
      <c r="D131" s="16">
        <f>D91</f>
        <v>1.9246865344422024</v>
      </c>
      <c r="E131" s="17" t="s">
        <v>4</v>
      </c>
      <c r="G131" s="6" t="s">
        <v>200</v>
      </c>
      <c r="H131" s="69" t="s">
        <v>179</v>
      </c>
      <c r="I131" s="40">
        <f>I91</f>
        <v>0.37424290903246943</v>
      </c>
      <c r="J131" s="8" t="s">
        <v>4</v>
      </c>
    </row>
    <row r="132" spans="2:10" ht="17.25" x14ac:dyDescent="0.25">
      <c r="B132" s="6" t="s">
        <v>39</v>
      </c>
      <c r="C132" s="33" t="s">
        <v>161</v>
      </c>
      <c r="D132" s="9">
        <f>ROUND(SQRT(56*D119^2-SQRT(3136*D119^4-2688*D119^3*D131)),3)</f>
        <v>179.48599999999999</v>
      </c>
      <c r="E132" s="8" t="s">
        <v>4</v>
      </c>
      <c r="G132" s="6" t="s">
        <v>39</v>
      </c>
      <c r="H132" s="33" t="s">
        <v>174</v>
      </c>
      <c r="I132" s="9">
        <f>ROUND(SQRT(56*I119^2-SQRT(3136*I119^4-2688*I119^3*I131)),3)</f>
        <v>107.68600000000001</v>
      </c>
      <c r="J132" s="8" t="s">
        <v>4</v>
      </c>
    </row>
    <row r="133" spans="2:10" ht="18" x14ac:dyDescent="0.35">
      <c r="B133" s="6" t="s">
        <v>84</v>
      </c>
      <c r="C133" s="33" t="s">
        <v>162</v>
      </c>
      <c r="D133" s="9">
        <f>ROUND(D132/(2*D119)*200/PI(),4)</f>
        <v>8.1968999999999994</v>
      </c>
      <c r="E133" s="8" t="s">
        <v>26</v>
      </c>
      <c r="G133" s="6" t="s">
        <v>84</v>
      </c>
      <c r="H133" s="33" t="s">
        <v>175</v>
      </c>
      <c r="I133" s="9">
        <f>ROUND(I132/(2*I119)*200/PI(),4)</f>
        <v>2.6551</v>
      </c>
      <c r="J133" s="8" t="s">
        <v>26</v>
      </c>
    </row>
    <row r="134" spans="2:10" ht="17.25" customHeight="1" x14ac:dyDescent="0.25">
      <c r="B134" s="6" t="s">
        <v>79</v>
      </c>
      <c r="C134" s="69" t="s">
        <v>163</v>
      </c>
      <c r="D134" s="9">
        <f>ROUND(D132-D132^3/(40*D119^2)+D132^5/(3456*D119^4),3)</f>
        <v>179.18899999999999</v>
      </c>
      <c r="E134" s="8" t="s">
        <v>4</v>
      </c>
      <c r="G134" s="6" t="s">
        <v>79</v>
      </c>
      <c r="H134" s="69" t="s">
        <v>176</v>
      </c>
      <c r="I134" s="9">
        <f>ROUND(I132-I132^3/(40*I119^2)+I132^5/(3456*I119^4),3)</f>
        <v>107.667</v>
      </c>
      <c r="J134" s="8" t="s">
        <v>4</v>
      </c>
    </row>
    <row r="135" spans="2:10" ht="17.25" x14ac:dyDescent="0.25">
      <c r="B135" s="6" t="s">
        <v>81</v>
      </c>
      <c r="C135" s="69" t="s">
        <v>164</v>
      </c>
      <c r="D135" s="9">
        <f>ROUND(D132^2/(6*D119)-D132^4/(336*D119^3)+D132^6/(42240*D119^5),3)</f>
        <v>7.694</v>
      </c>
      <c r="E135" s="8" t="s">
        <v>4</v>
      </c>
      <c r="G135" s="6" t="s">
        <v>81</v>
      </c>
      <c r="H135" s="69" t="s">
        <v>177</v>
      </c>
      <c r="I135" s="9">
        <f>ROUND(I132^2/(6*I119)-I132^4/(336*I119^3)+I132^6/(42240*I119^5),3)</f>
        <v>1.4970000000000001</v>
      </c>
      <c r="J135" s="8" t="s">
        <v>4</v>
      </c>
    </row>
    <row r="136" spans="2:10" ht="16.5" x14ac:dyDescent="0.25">
      <c r="B136" s="6" t="s">
        <v>85</v>
      </c>
      <c r="C136" s="69" t="s">
        <v>45</v>
      </c>
      <c r="D136" s="9">
        <f>D132*D119</f>
        <v>125101.742</v>
      </c>
      <c r="E136" s="8"/>
      <c r="G136" s="6" t="s">
        <v>85</v>
      </c>
      <c r="H136" s="69" t="s">
        <v>45</v>
      </c>
      <c r="I136" s="9">
        <f>I132*I119</f>
        <v>139022.62600000002</v>
      </c>
      <c r="J136" s="8"/>
    </row>
    <row r="137" spans="2:10" ht="17.25" x14ac:dyDescent="0.25">
      <c r="B137" s="6"/>
      <c r="C137" s="69" t="s">
        <v>167</v>
      </c>
      <c r="D137" s="9">
        <f>ROUND(SQRT(D136),3)</f>
        <v>353.697</v>
      </c>
      <c r="E137" s="8"/>
      <c r="G137" s="6"/>
      <c r="H137" s="69" t="s">
        <v>187</v>
      </c>
      <c r="I137" s="9">
        <f>ROUND(SQRT(I136),3)</f>
        <v>372.85700000000003</v>
      </c>
      <c r="J137" s="8"/>
    </row>
    <row r="138" spans="2:10" ht="18" thickBot="1" x14ac:dyDescent="0.3">
      <c r="B138" s="72" t="s">
        <v>82</v>
      </c>
      <c r="C138" s="70" t="s">
        <v>165</v>
      </c>
      <c r="D138" s="18">
        <f>ROUND(D132/2-D132^3/(240*D119^2),3)</f>
        <v>89.692999999999998</v>
      </c>
      <c r="E138" s="13" t="s">
        <v>4</v>
      </c>
      <c r="G138" s="72" t="s">
        <v>82</v>
      </c>
      <c r="H138" s="69" t="s">
        <v>178</v>
      </c>
      <c r="I138" s="18">
        <f>ROUND(I132/2-I132^3/(240*I119^2),3)</f>
        <v>53.84</v>
      </c>
      <c r="J138" s="13" t="s">
        <v>4</v>
      </c>
    </row>
    <row r="139" spans="2:10" ht="15.75" thickBot="1" x14ac:dyDescent="0.3">
      <c r="B139" s="133" t="s">
        <v>193</v>
      </c>
      <c r="C139" s="134"/>
      <c r="D139" s="134"/>
      <c r="E139" s="135"/>
      <c r="G139" s="133" t="s">
        <v>196</v>
      </c>
      <c r="H139" s="134"/>
      <c r="I139" s="134"/>
      <c r="J139" s="135"/>
    </row>
    <row r="140" spans="2:10" ht="17.25" x14ac:dyDescent="0.25">
      <c r="B140" s="14" t="s">
        <v>200</v>
      </c>
      <c r="C140" s="75" t="s">
        <v>156</v>
      </c>
      <c r="D140" s="16">
        <f>D100</f>
        <v>2.4139171355600535</v>
      </c>
      <c r="E140" s="17" t="s">
        <v>4</v>
      </c>
      <c r="G140" s="14" t="s">
        <v>200</v>
      </c>
      <c r="H140" s="75" t="s">
        <v>181</v>
      </c>
      <c r="I140" s="16">
        <f>I100</f>
        <v>0.29835347591717098</v>
      </c>
      <c r="J140" s="17" t="s">
        <v>4</v>
      </c>
    </row>
    <row r="141" spans="2:10" ht="17.25" x14ac:dyDescent="0.25">
      <c r="B141" s="6" t="s">
        <v>39</v>
      </c>
      <c r="C141" s="33" t="s">
        <v>151</v>
      </c>
      <c r="D141" s="9">
        <f>ROUND(SQRT(56*D119^2-SQRT(3136*D119^4-2688*D119^3*D140)),3)</f>
        <v>201.02199999999999</v>
      </c>
      <c r="E141" s="8" t="s">
        <v>4</v>
      </c>
      <c r="G141" s="6" t="s">
        <v>39</v>
      </c>
      <c r="H141" s="33" t="s">
        <v>168</v>
      </c>
      <c r="I141" s="9">
        <f>ROUND(SQRT(56*I119^2-SQRT(3136*I119^4-2688*I119^3*I140)),3)</f>
        <v>96.149000000000001</v>
      </c>
      <c r="J141" s="8" t="s">
        <v>4</v>
      </c>
    </row>
    <row r="142" spans="2:10" ht="18" x14ac:dyDescent="0.35">
      <c r="B142" s="6" t="s">
        <v>84</v>
      </c>
      <c r="C142" s="33" t="s">
        <v>172</v>
      </c>
      <c r="D142" s="9">
        <f>ROUND(D141/(2*D119)*200/PI(),4)</f>
        <v>9.1804000000000006</v>
      </c>
      <c r="E142" s="8" t="s">
        <v>26</v>
      </c>
      <c r="G142" s="6" t="s">
        <v>84</v>
      </c>
      <c r="H142" s="33" t="s">
        <v>169</v>
      </c>
      <c r="I142" s="9">
        <f>ROUND(I141/(2*I119)*200/PI(),4)</f>
        <v>2.3706999999999998</v>
      </c>
      <c r="J142" s="8" t="s">
        <v>26</v>
      </c>
    </row>
    <row r="143" spans="2:10" ht="17.25" x14ac:dyDescent="0.25">
      <c r="B143" s="6" t="s">
        <v>79</v>
      </c>
      <c r="C143" s="69" t="s">
        <v>153</v>
      </c>
      <c r="D143" s="9">
        <f>ROUND(D141-D141^3/(40*D119^2)+D141^5/(3456*D119^4),3)</f>
        <v>200.60400000000001</v>
      </c>
      <c r="E143" s="8" t="s">
        <v>4</v>
      </c>
      <c r="G143" s="6" t="s">
        <v>79</v>
      </c>
      <c r="H143" s="69" t="s">
        <v>170</v>
      </c>
      <c r="I143" s="9">
        <f>ROUND(I141-I141^3/(40*I119^2)+I141^5/(3456*I119^4),3)</f>
        <v>96.135999999999996</v>
      </c>
      <c r="J143" s="8" t="s">
        <v>4</v>
      </c>
    </row>
    <row r="144" spans="2:10" ht="17.25" x14ac:dyDescent="0.25">
      <c r="B144" s="6" t="s">
        <v>81</v>
      </c>
      <c r="C144" s="69" t="s">
        <v>171</v>
      </c>
      <c r="D144" s="9">
        <f>ROUND(D141^2/(6*D119)-D141^4/(336*D119^3)+D141^6/(42240*D119^5),3)</f>
        <v>9.6479999999999997</v>
      </c>
      <c r="E144" s="8" t="s">
        <v>4</v>
      </c>
      <c r="G144" s="6" t="s">
        <v>81</v>
      </c>
      <c r="H144" s="69" t="s">
        <v>171</v>
      </c>
      <c r="I144" s="9">
        <f>ROUND(I141^2/(6*I119)-I141^4/(336*I119^3)+I141^6/(42240*I119^5),3)</f>
        <v>1.1930000000000001</v>
      </c>
      <c r="J144" s="8" t="s">
        <v>4</v>
      </c>
    </row>
    <row r="145" spans="2:16" ht="16.5" x14ac:dyDescent="0.25">
      <c r="B145" s="6" t="s">
        <v>85</v>
      </c>
      <c r="C145" s="69" t="s">
        <v>45</v>
      </c>
      <c r="D145" s="9">
        <f>D141*D119</f>
        <v>140112.334</v>
      </c>
      <c r="E145" s="8"/>
      <c r="G145" s="6" t="s">
        <v>85</v>
      </c>
      <c r="H145" s="69" t="s">
        <v>45</v>
      </c>
      <c r="I145" s="9">
        <f>I141*I119</f>
        <v>124128.359</v>
      </c>
      <c r="J145" s="8"/>
    </row>
    <row r="146" spans="2:16" ht="17.25" x14ac:dyDescent="0.25">
      <c r="B146" s="6"/>
      <c r="C146" s="69" t="s">
        <v>173</v>
      </c>
      <c r="D146" s="9">
        <f>ROUND(SQRT(D145),3)</f>
        <v>374.31599999999997</v>
      </c>
      <c r="E146" s="8"/>
      <c r="G146" s="6"/>
      <c r="H146" s="69" t="s">
        <v>186</v>
      </c>
      <c r="I146" s="9">
        <f>ROUND(SQRT(I145),3)</f>
        <v>352.31900000000002</v>
      </c>
      <c r="J146" s="8"/>
    </row>
    <row r="147" spans="2:16" ht="18" thickBot="1" x14ac:dyDescent="0.3">
      <c r="B147" s="72" t="s">
        <v>82</v>
      </c>
      <c r="C147" s="70" t="s">
        <v>155</v>
      </c>
      <c r="D147" s="18">
        <f>ROUND(D141/2-D141^3/(240*D119^2),3)</f>
        <v>100.441</v>
      </c>
      <c r="E147" s="13" t="s">
        <v>4</v>
      </c>
      <c r="G147" s="72" t="s">
        <v>82</v>
      </c>
      <c r="H147" s="69" t="s">
        <v>180</v>
      </c>
      <c r="I147" s="18">
        <f>ROUND(I141/2-I141^3/(240*I119^2),3)</f>
        <v>48.072000000000003</v>
      </c>
      <c r="J147" s="13" t="s">
        <v>4</v>
      </c>
    </row>
    <row r="148" spans="2:16" ht="15.75" thickBot="1" x14ac:dyDescent="0.3">
      <c r="B148" s="136" t="s">
        <v>191</v>
      </c>
      <c r="C148" s="137"/>
      <c r="D148" s="137"/>
      <c r="E148" s="138"/>
      <c r="G148" s="136" t="s">
        <v>191</v>
      </c>
      <c r="H148" s="137"/>
      <c r="I148" s="137"/>
      <c r="J148" s="138"/>
    </row>
    <row r="149" spans="2:16" ht="17.25" x14ac:dyDescent="0.3">
      <c r="B149" s="14" t="s">
        <v>54</v>
      </c>
      <c r="C149" s="15" t="s">
        <v>158</v>
      </c>
      <c r="D149" s="61">
        <f>D67-D133-D142</f>
        <v>8.9134000000000011</v>
      </c>
      <c r="E149" s="17" t="s">
        <v>26</v>
      </c>
      <c r="G149" s="14" t="s">
        <v>54</v>
      </c>
      <c r="H149" s="15" t="s">
        <v>182</v>
      </c>
      <c r="I149" s="71">
        <f>D65-I133-I142</f>
        <v>5.3490000000000002</v>
      </c>
      <c r="J149" s="17" t="s">
        <v>26</v>
      </c>
    </row>
    <row r="150" spans="2:16" ht="17.25" x14ac:dyDescent="0.25">
      <c r="B150" s="23" t="s">
        <v>50</v>
      </c>
      <c r="C150" s="69" t="s">
        <v>202</v>
      </c>
      <c r="D150" s="59">
        <f>ROUND(D138+D119*TAN(D67*PI()/200/2)-D131/TAN(D67*PI()/200)+D140/SIN(D67*PI()/200),3)</f>
        <v>237.31700000000001</v>
      </c>
      <c r="E150" s="8" t="s">
        <v>4</v>
      </c>
      <c r="G150" s="23" t="s">
        <v>50</v>
      </c>
      <c r="H150" s="69" t="s">
        <v>140</v>
      </c>
      <c r="I150" s="59">
        <f>ROUND(I138+I119*TAN(D65*PI()/200/2)-I140/TAN(D65*PI()/200)+I131/SIN(D65*PI()/200),3)</f>
        <v>159.761</v>
      </c>
      <c r="J150" s="8" t="s">
        <v>4</v>
      </c>
    </row>
    <row r="151" spans="2:16" ht="17.25" x14ac:dyDescent="0.25">
      <c r="B151" s="23" t="s">
        <v>50</v>
      </c>
      <c r="C151" s="69" t="s">
        <v>139</v>
      </c>
      <c r="D151" s="59">
        <f>ROUND(D147+D119*TAN(D67*PI()/200/2)-D140/TAN(D67*PI()/200)+D131/SIN(D67*PI()/200),3)</f>
        <v>245.73</v>
      </c>
      <c r="E151" s="8" t="s">
        <v>4</v>
      </c>
      <c r="G151" s="23" t="s">
        <v>50</v>
      </c>
      <c r="H151" s="69" t="s">
        <v>183</v>
      </c>
      <c r="I151" s="59">
        <f>ROUND(I147+I119*TAN(D65/2*PI()/200)-I140/TAN(D65*PI()/200)+I131/SIN(D65*PI()/200),3)</f>
        <v>153.99299999999999</v>
      </c>
      <c r="J151" s="8" t="s">
        <v>4</v>
      </c>
    </row>
    <row r="152" spans="2:16" ht="17.25" x14ac:dyDescent="0.3">
      <c r="B152" s="6" t="s">
        <v>56</v>
      </c>
      <c r="C152" s="7" t="s">
        <v>184</v>
      </c>
      <c r="D152" s="59">
        <f>ROUND(D119*D149*PI()/200,3)</f>
        <v>97.587999999999994</v>
      </c>
      <c r="E152" s="8" t="s">
        <v>4</v>
      </c>
      <c r="G152" s="6" t="s">
        <v>56</v>
      </c>
      <c r="H152" s="7" t="s">
        <v>159</v>
      </c>
      <c r="I152" s="59">
        <f>ROUND(I119*I149*PI()/200,3)</f>
        <v>108.47199999999999</v>
      </c>
      <c r="J152" s="8" t="s">
        <v>4</v>
      </c>
    </row>
    <row r="153" spans="2:16" ht="18" thickBot="1" x14ac:dyDescent="0.35">
      <c r="B153" s="11" t="s">
        <v>52</v>
      </c>
      <c r="C153" s="24" t="s">
        <v>160</v>
      </c>
      <c r="D153" s="60">
        <f>D132+D152+D141</f>
        <v>478.09599999999995</v>
      </c>
      <c r="E153" s="13" t="s">
        <v>4</v>
      </c>
      <c r="G153" s="11" t="s">
        <v>52</v>
      </c>
      <c r="H153" s="24" t="s">
        <v>185</v>
      </c>
      <c r="I153" s="60">
        <f>I132+I152+I141</f>
        <v>312.30700000000002</v>
      </c>
      <c r="J153" s="13" t="s">
        <v>4</v>
      </c>
    </row>
    <row r="154" spans="2:16" ht="15.75" thickBot="1" x14ac:dyDescent="0.3"/>
    <row r="155" spans="2:16" ht="15.75" thickBot="1" x14ac:dyDescent="0.3">
      <c r="B155" s="142" t="s">
        <v>208</v>
      </c>
      <c r="C155" s="143"/>
      <c r="D155" s="143"/>
      <c r="E155" s="144"/>
    </row>
    <row r="156" spans="2:16" ht="15.75" thickBot="1" x14ac:dyDescent="0.3"/>
    <row r="157" spans="2:16" ht="15.75" thickBot="1" x14ac:dyDescent="0.3">
      <c r="B157" s="127" t="s">
        <v>209</v>
      </c>
      <c r="C157" s="128"/>
      <c r="D157" s="128"/>
      <c r="E157" s="129"/>
      <c r="G157" s="153" t="s">
        <v>228</v>
      </c>
      <c r="H157" s="154"/>
      <c r="I157" s="154"/>
      <c r="J157" s="155"/>
      <c r="M157" s="127" t="s">
        <v>230</v>
      </c>
      <c r="N157" s="128"/>
      <c r="O157" s="128"/>
      <c r="P157" s="129"/>
    </row>
    <row r="158" spans="2:16" ht="17.25" x14ac:dyDescent="0.3">
      <c r="B158" s="87"/>
      <c r="C158" s="88"/>
      <c r="D158" s="88"/>
      <c r="E158" s="88"/>
      <c r="G158" s="14" t="s">
        <v>39</v>
      </c>
      <c r="H158" s="32" t="s">
        <v>161</v>
      </c>
      <c r="I158" s="91">
        <f>D132</f>
        <v>179.48599999999999</v>
      </c>
      <c r="J158" s="17" t="s">
        <v>4</v>
      </c>
      <c r="M158" s="14"/>
      <c r="N158" s="15" t="s">
        <v>22</v>
      </c>
      <c r="O158" s="81">
        <f>MIN(D169,I169,D198,I198)</f>
        <v>125</v>
      </c>
      <c r="P158" s="17" t="s">
        <v>3</v>
      </c>
    </row>
    <row r="159" spans="2:16" ht="17.25" x14ac:dyDescent="0.3">
      <c r="B159" s="87"/>
      <c r="C159" s="88"/>
      <c r="D159" s="88"/>
      <c r="E159" s="88"/>
      <c r="G159" s="6" t="s">
        <v>199</v>
      </c>
      <c r="H159" s="33" t="s">
        <v>2</v>
      </c>
      <c r="I159" s="89">
        <f>D119</f>
        <v>697</v>
      </c>
      <c r="J159" s="8" t="s">
        <v>4</v>
      </c>
      <c r="M159" s="6"/>
      <c r="N159" s="7" t="s">
        <v>33</v>
      </c>
      <c r="O159" s="9">
        <f>MIN(D171,I171,D200,I200)</f>
        <v>130</v>
      </c>
      <c r="P159" s="8" t="s">
        <v>3</v>
      </c>
    </row>
    <row r="160" spans="2:16" ht="18" thickBot="1" x14ac:dyDescent="0.35">
      <c r="B160" s="87"/>
      <c r="C160" s="88"/>
      <c r="D160" s="88"/>
      <c r="E160" s="88"/>
      <c r="G160" s="6" t="s">
        <v>20</v>
      </c>
      <c r="H160" s="4" t="s">
        <v>21</v>
      </c>
      <c r="I160" s="89">
        <f>D124</f>
        <v>150</v>
      </c>
      <c r="J160" s="8" t="s">
        <v>5</v>
      </c>
      <c r="M160" s="11"/>
      <c r="N160" s="38" t="s">
        <v>211</v>
      </c>
      <c r="O160" s="18">
        <f>MIN(D175,D173,I173,I175,D202,I202,I204,D204)</f>
        <v>149.57166666666666</v>
      </c>
      <c r="P160" s="13" t="s">
        <v>3</v>
      </c>
    </row>
    <row r="161" spans="2:16" x14ac:dyDescent="0.25">
      <c r="B161" s="87"/>
      <c r="C161" s="88"/>
      <c r="D161" s="88"/>
      <c r="E161" s="88"/>
      <c r="G161" s="6" t="s">
        <v>10</v>
      </c>
      <c r="H161" s="7" t="s">
        <v>6</v>
      </c>
      <c r="I161" s="89">
        <f>D125</f>
        <v>94</v>
      </c>
      <c r="J161" s="8" t="s">
        <v>5</v>
      </c>
      <c r="M161" t="s">
        <v>278</v>
      </c>
      <c r="N161" t="s">
        <v>279</v>
      </c>
      <c r="O161">
        <f>MAX(O158:O160)</f>
        <v>149.57166666666666</v>
      </c>
      <c r="P161" t="s">
        <v>3</v>
      </c>
    </row>
    <row r="162" spans="2:16" ht="17.25" x14ac:dyDescent="0.25">
      <c r="B162" s="87"/>
      <c r="C162" s="88"/>
      <c r="D162" s="88"/>
      <c r="E162" s="88"/>
      <c r="G162" s="6" t="s">
        <v>39</v>
      </c>
      <c r="H162" s="33" t="s">
        <v>151</v>
      </c>
      <c r="I162" s="89">
        <f>D141</f>
        <v>201.02199999999999</v>
      </c>
      <c r="J162" s="8" t="s">
        <v>4</v>
      </c>
    </row>
    <row r="163" spans="2:16" ht="17.25" x14ac:dyDescent="0.25">
      <c r="B163" s="87"/>
      <c r="C163" s="88"/>
      <c r="D163" s="88"/>
      <c r="E163" s="88"/>
      <c r="G163" s="6" t="s">
        <v>39</v>
      </c>
      <c r="H163" s="33" t="s">
        <v>174</v>
      </c>
      <c r="I163" s="89">
        <f>I132</f>
        <v>107.68600000000001</v>
      </c>
      <c r="J163" s="8" t="s">
        <v>4</v>
      </c>
    </row>
    <row r="164" spans="2:16" x14ac:dyDescent="0.25">
      <c r="B164" s="87"/>
      <c r="C164" s="88"/>
      <c r="D164" s="88"/>
      <c r="E164" s="88"/>
      <c r="G164" s="6" t="s">
        <v>229</v>
      </c>
      <c r="H164" s="33" t="s">
        <v>2</v>
      </c>
      <c r="I164" s="89">
        <f>I119</f>
        <v>1291</v>
      </c>
      <c r="J164" s="90" t="s">
        <v>4</v>
      </c>
    </row>
    <row r="165" spans="2:16" x14ac:dyDescent="0.25">
      <c r="B165" s="87"/>
      <c r="C165" s="88"/>
      <c r="D165" s="88"/>
      <c r="E165" s="88"/>
      <c r="G165" s="6" t="s">
        <v>20</v>
      </c>
      <c r="H165" s="4" t="s">
        <v>21</v>
      </c>
      <c r="I165" s="89">
        <f>I124</f>
        <v>80</v>
      </c>
      <c r="J165" s="8" t="s">
        <v>5</v>
      </c>
    </row>
    <row r="166" spans="2:16" x14ac:dyDescent="0.25">
      <c r="B166" s="87"/>
      <c r="C166" s="88"/>
      <c r="D166" s="88"/>
      <c r="E166" s="88"/>
      <c r="G166" s="6" t="s">
        <v>10</v>
      </c>
      <c r="H166" s="7" t="s">
        <v>6</v>
      </c>
      <c r="I166" s="89">
        <f>I125</f>
        <v>52</v>
      </c>
      <c r="J166" s="8" t="s">
        <v>5</v>
      </c>
    </row>
    <row r="167" spans="2:16" ht="18" thickBot="1" x14ac:dyDescent="0.3">
      <c r="B167" s="87"/>
      <c r="C167" s="88"/>
      <c r="D167" s="88"/>
      <c r="E167" s="88"/>
      <c r="G167" s="11" t="s">
        <v>39</v>
      </c>
      <c r="H167" s="92" t="s">
        <v>168</v>
      </c>
      <c r="I167" s="93">
        <f>I141</f>
        <v>96.149000000000001</v>
      </c>
      <c r="J167" s="13" t="s">
        <v>4</v>
      </c>
    </row>
    <row r="168" spans="2:16" ht="15.75" thickBot="1" x14ac:dyDescent="0.3">
      <c r="B168" s="133" t="s">
        <v>210</v>
      </c>
      <c r="C168" s="145"/>
      <c r="D168" s="145"/>
      <c r="E168" s="146"/>
      <c r="G168" s="133" t="s">
        <v>210</v>
      </c>
      <c r="H168" s="145"/>
      <c r="I168" s="145"/>
      <c r="J168" s="146"/>
    </row>
    <row r="169" spans="2:16" ht="17.25" x14ac:dyDescent="0.3">
      <c r="B169" s="14"/>
      <c r="C169" s="15" t="s">
        <v>22</v>
      </c>
      <c r="D169" s="76">
        <f>FLOOR(SQRT((D16+130)*D11/11.8),5)</f>
        <v>125</v>
      </c>
      <c r="E169" s="17" t="s">
        <v>3</v>
      </c>
      <c r="G169" s="14"/>
      <c r="H169" s="15" t="s">
        <v>22</v>
      </c>
      <c r="I169" s="81">
        <f>FLOOR(SQRT((I160+130)*I159/11.8),5)</f>
        <v>125</v>
      </c>
      <c r="J169" s="17" t="s">
        <v>3</v>
      </c>
    </row>
    <row r="170" spans="2:16" ht="17.25" x14ac:dyDescent="0.3">
      <c r="B170" s="6"/>
      <c r="C170" s="7" t="s">
        <v>32</v>
      </c>
      <c r="D170" s="9">
        <f>CEILING(11.8*D25^2/D11-D16,1)</f>
        <v>114</v>
      </c>
      <c r="E170" s="8" t="s">
        <v>5</v>
      </c>
      <c r="G170" s="6"/>
      <c r="H170" s="7" t="s">
        <v>32</v>
      </c>
      <c r="I170" s="9">
        <f>CEILING(11.8*I169^2/I159-I160,1)</f>
        <v>115</v>
      </c>
      <c r="J170" s="90" t="s">
        <v>5</v>
      </c>
    </row>
    <row r="171" spans="2:16" ht="17.25" x14ac:dyDescent="0.3">
      <c r="B171" s="6"/>
      <c r="C171" s="7" t="s">
        <v>33</v>
      </c>
      <c r="D171" s="9">
        <f>FLOOR(SQRT((D16+150)*D11/11.8),5)</f>
        <v>130</v>
      </c>
      <c r="E171" s="8" t="s">
        <v>3</v>
      </c>
      <c r="G171" s="6"/>
      <c r="H171" s="7" t="s">
        <v>33</v>
      </c>
      <c r="I171" s="9">
        <f>FLOOR(SQRT((I160+150)*I159/11.8),5)</f>
        <v>130</v>
      </c>
      <c r="J171" s="8" t="s">
        <v>3</v>
      </c>
    </row>
    <row r="172" spans="2:16" ht="17.25" x14ac:dyDescent="0.3">
      <c r="B172" s="6"/>
      <c r="C172" s="7" t="s">
        <v>34</v>
      </c>
      <c r="D172" s="9">
        <f>CEILING(11.8*D27^2/D11-D16,1)</f>
        <v>135</v>
      </c>
      <c r="E172" s="8" t="s">
        <v>5</v>
      </c>
      <c r="G172" s="6"/>
      <c r="H172" s="7" t="s">
        <v>34</v>
      </c>
      <c r="I172" s="9">
        <f>CEILING(11.8*I171^2/I159-I160,1)</f>
        <v>137</v>
      </c>
      <c r="J172" s="8" t="s">
        <v>5</v>
      </c>
    </row>
    <row r="173" spans="2:16" ht="17.25" x14ac:dyDescent="0.3">
      <c r="B173" s="6" t="s">
        <v>213</v>
      </c>
      <c r="C173" s="7" t="s">
        <v>211</v>
      </c>
      <c r="D173" s="9">
        <f>FLOOR(SQRT((D16+270)*D11/11.8),5)</f>
        <v>155</v>
      </c>
      <c r="E173" s="8" t="s">
        <v>3</v>
      </c>
      <c r="G173" s="6"/>
      <c r="H173" s="7" t="s">
        <v>211</v>
      </c>
      <c r="I173" s="9">
        <f>FLOOR(SQRT((I160+270)*I159/11.8),5)</f>
        <v>155</v>
      </c>
      <c r="J173" s="8" t="s">
        <v>3</v>
      </c>
    </row>
    <row r="174" spans="2:16" ht="17.25" x14ac:dyDescent="0.3">
      <c r="B174" s="6"/>
      <c r="C174" s="7" t="s">
        <v>212</v>
      </c>
      <c r="D174" s="9">
        <f>CEILING(11.8*D173^2/D11-D16,1)</f>
        <v>255</v>
      </c>
      <c r="E174" s="8" t="s">
        <v>5</v>
      </c>
      <c r="G174" s="6"/>
      <c r="H174" s="7" t="s">
        <v>212</v>
      </c>
      <c r="I174" s="9">
        <f>CEILING(11.8*I173^2/I159-I160,1)</f>
        <v>257</v>
      </c>
      <c r="J174" s="8" t="s">
        <v>5</v>
      </c>
    </row>
    <row r="175" spans="2:16" ht="18" thickBot="1" x14ac:dyDescent="0.35">
      <c r="B175" s="11"/>
      <c r="C175" s="38" t="s">
        <v>220</v>
      </c>
      <c r="D175" s="84">
        <f>FLOOR((D84*1000)/(D16*8),5)</f>
        <v>150</v>
      </c>
      <c r="E175" s="13" t="s">
        <v>3</v>
      </c>
      <c r="G175" s="11"/>
      <c r="H175" s="38" t="s">
        <v>220</v>
      </c>
      <c r="I175" s="84">
        <f>((I158*1000)/(I160*8))</f>
        <v>149.57166666666666</v>
      </c>
      <c r="J175" s="13" t="s">
        <v>3</v>
      </c>
    </row>
    <row r="176" spans="2:16" ht="15.75" thickBot="1" x14ac:dyDescent="0.3">
      <c r="B176" s="133" t="s">
        <v>194</v>
      </c>
      <c r="C176" s="145"/>
      <c r="D176" s="145"/>
      <c r="E176" s="146"/>
      <c r="G176" s="133" t="s">
        <v>194</v>
      </c>
      <c r="H176" s="145"/>
      <c r="I176" s="145"/>
      <c r="J176" s="146"/>
    </row>
    <row r="177" spans="2:10" x14ac:dyDescent="0.25">
      <c r="B177" s="14" t="s">
        <v>219</v>
      </c>
      <c r="C177" s="15" t="s">
        <v>215</v>
      </c>
      <c r="D177" s="76">
        <f>ROUND(($D$22*1000)/($D$16*D9),2)</f>
        <v>10</v>
      </c>
      <c r="E177" s="17" t="s">
        <v>214</v>
      </c>
      <c r="G177" s="14" t="s">
        <v>219</v>
      </c>
      <c r="H177" s="15" t="s">
        <v>215</v>
      </c>
      <c r="I177" s="81">
        <f>ROUND(($I$158*1000)/(I160*D9),2)</f>
        <v>9.9700000000000006</v>
      </c>
      <c r="J177" s="17" t="s">
        <v>214</v>
      </c>
    </row>
    <row r="178" spans="2:10" ht="17.25" x14ac:dyDescent="0.3">
      <c r="B178" s="6"/>
      <c r="C178" s="7" t="s">
        <v>216</v>
      </c>
      <c r="D178" s="9">
        <f>ROUND(($D$22*1000)/($D$16*D169),2)</f>
        <v>9.6</v>
      </c>
      <c r="E178" s="8" t="s">
        <v>214</v>
      </c>
      <c r="G178" s="6"/>
      <c r="H178" s="7" t="s">
        <v>216</v>
      </c>
      <c r="I178" s="9">
        <f>ROUND(($I$158*1000)/($I$160*I169),2)</f>
        <v>9.57</v>
      </c>
      <c r="J178" s="8" t="s">
        <v>214</v>
      </c>
    </row>
    <row r="179" spans="2:10" ht="17.25" x14ac:dyDescent="0.3">
      <c r="B179" s="6"/>
      <c r="C179" s="7" t="s">
        <v>217</v>
      </c>
      <c r="D179" s="9">
        <f>ROUND(($D$22*1000)/($D$16*D171),2)</f>
        <v>9.23</v>
      </c>
      <c r="E179" s="8" t="s">
        <v>214</v>
      </c>
      <c r="G179" s="6"/>
      <c r="H179" s="7" t="s">
        <v>217</v>
      </c>
      <c r="I179" s="9">
        <f>ROUND(($I$158*1000)/($I$160*I171),2)</f>
        <v>9.1999999999999993</v>
      </c>
      <c r="J179" s="8" t="s">
        <v>214</v>
      </c>
    </row>
    <row r="180" spans="2:10" ht="17.25" x14ac:dyDescent="0.3">
      <c r="B180" s="82" t="s">
        <v>226</v>
      </c>
      <c r="C180" s="7" t="s">
        <v>218</v>
      </c>
      <c r="D180" s="83">
        <f>ROUND(($D$22*1000)/($D$16*D173),2)</f>
        <v>7.74</v>
      </c>
      <c r="E180" s="8" t="s">
        <v>214</v>
      </c>
      <c r="G180" s="82" t="s">
        <v>226</v>
      </c>
      <c r="H180" s="7" t="s">
        <v>218</v>
      </c>
      <c r="I180" s="83">
        <f>ROUND(($I$158*1000)/($I$160*I173),2)</f>
        <v>7.72</v>
      </c>
      <c r="J180" s="8" t="s">
        <v>214</v>
      </c>
    </row>
    <row r="181" spans="2:10" ht="17.25" x14ac:dyDescent="0.3">
      <c r="B181" s="6"/>
      <c r="C181" s="7" t="s">
        <v>218</v>
      </c>
      <c r="D181" s="9">
        <f>ROUND(($D$22*1000)/($D$16*D175),2)</f>
        <v>8</v>
      </c>
      <c r="E181" s="8" t="s">
        <v>214</v>
      </c>
      <c r="G181" s="6"/>
      <c r="H181" s="7" t="s">
        <v>218</v>
      </c>
      <c r="I181" s="9">
        <f>ROUND(($D$22*1000)/($D$16*I175),2)</f>
        <v>8.02</v>
      </c>
      <c r="J181" s="8" t="s">
        <v>214</v>
      </c>
    </row>
    <row r="182" spans="2:10" ht="17.25" x14ac:dyDescent="0.3">
      <c r="B182" s="6" t="s">
        <v>225</v>
      </c>
      <c r="C182" s="7" t="s">
        <v>221</v>
      </c>
      <c r="D182" s="9">
        <f>ROUND(($D$22*1000)/($D$17*D9),2)</f>
        <v>16.13</v>
      </c>
      <c r="E182" s="8" t="s">
        <v>214</v>
      </c>
      <c r="G182" s="6" t="s">
        <v>225</v>
      </c>
      <c r="H182" s="7" t="s">
        <v>221</v>
      </c>
      <c r="I182" s="9">
        <f>ROUND((I158*1000)/(I161*D9),2)</f>
        <v>15.91</v>
      </c>
      <c r="J182" s="8" t="s">
        <v>214</v>
      </c>
    </row>
    <row r="183" spans="2:10" ht="17.25" x14ac:dyDescent="0.3">
      <c r="B183" s="6"/>
      <c r="C183" s="7" t="s">
        <v>222</v>
      </c>
      <c r="D183" s="9">
        <f>ROUND(($D$22*1000)/($D$17*D169),2)</f>
        <v>15.48</v>
      </c>
      <c r="E183" s="8" t="s">
        <v>214</v>
      </c>
      <c r="G183" s="6"/>
      <c r="H183" s="7" t="s">
        <v>222</v>
      </c>
      <c r="I183" s="9">
        <f>ROUND((I158*1000)/(I161*I169),2)</f>
        <v>15.28</v>
      </c>
      <c r="J183" s="8" t="s">
        <v>214</v>
      </c>
    </row>
    <row r="184" spans="2:10" ht="17.25" x14ac:dyDescent="0.3">
      <c r="B184" s="6"/>
      <c r="C184" s="7" t="s">
        <v>223</v>
      </c>
      <c r="D184" s="9">
        <f>ROUND(($D$22*1000)/($D$17*D171),2)</f>
        <v>14.89</v>
      </c>
      <c r="E184" s="8" t="s">
        <v>214</v>
      </c>
      <c r="G184" s="6"/>
      <c r="H184" s="7" t="s">
        <v>223</v>
      </c>
      <c r="I184" s="9">
        <f>ROUND((I158*1000)/(I161*I171),2)</f>
        <v>14.69</v>
      </c>
      <c r="J184" s="8" t="s">
        <v>214</v>
      </c>
    </row>
    <row r="185" spans="2:10" ht="18" thickBot="1" x14ac:dyDescent="0.35">
      <c r="B185" s="11"/>
      <c r="C185" s="38" t="s">
        <v>224</v>
      </c>
      <c r="D185" s="18">
        <f>ROUND(($D$22*1000)/($D$17*D175),2)</f>
        <v>12.9</v>
      </c>
      <c r="E185" s="13" t="s">
        <v>214</v>
      </c>
      <c r="G185" s="11"/>
      <c r="H185" s="38" t="s">
        <v>224</v>
      </c>
      <c r="I185" s="18">
        <f>ROUND((I158*1000)/(I161*I175),2)</f>
        <v>12.77</v>
      </c>
      <c r="J185" s="13" t="s">
        <v>214</v>
      </c>
    </row>
    <row r="186" spans="2:10" ht="15.75" thickBot="1" x14ac:dyDescent="0.3">
      <c r="B186" s="133" t="s">
        <v>193</v>
      </c>
      <c r="C186" s="145"/>
      <c r="D186" s="145"/>
      <c r="E186" s="146"/>
      <c r="G186" s="133" t="s">
        <v>193</v>
      </c>
      <c r="H186" s="145"/>
      <c r="I186" s="145"/>
      <c r="J186" s="146"/>
    </row>
    <row r="187" spans="2:10" x14ac:dyDescent="0.25">
      <c r="B187" s="14" t="s">
        <v>219</v>
      </c>
      <c r="C187" s="15" t="s">
        <v>215</v>
      </c>
      <c r="D187" s="76">
        <f>ROUND(($D$93*1000)/($D$16*D9),2)</f>
        <v>11.2</v>
      </c>
      <c r="E187" s="17" t="s">
        <v>214</v>
      </c>
      <c r="G187" s="14" t="s">
        <v>219</v>
      </c>
      <c r="H187" s="15" t="s">
        <v>215</v>
      </c>
      <c r="I187" s="81">
        <f>ROUND(($I$162*1000)/($I$160*D9),2)</f>
        <v>11.17</v>
      </c>
      <c r="J187" s="17" t="s">
        <v>214</v>
      </c>
    </row>
    <row r="188" spans="2:10" ht="17.25" x14ac:dyDescent="0.3">
      <c r="B188" s="6"/>
      <c r="C188" s="7" t="s">
        <v>216</v>
      </c>
      <c r="D188" s="9">
        <f>ROUND(($D$93*1000)/($D$16*D169),2)</f>
        <v>10.75</v>
      </c>
      <c r="E188" s="8" t="s">
        <v>214</v>
      </c>
      <c r="G188" s="6"/>
      <c r="H188" s="7" t="s">
        <v>216</v>
      </c>
      <c r="I188" s="9">
        <f>ROUND(($I$162*1000)/($I$160*I169),2)</f>
        <v>10.72</v>
      </c>
      <c r="J188" s="8" t="s">
        <v>214</v>
      </c>
    </row>
    <row r="189" spans="2:10" ht="17.25" x14ac:dyDescent="0.3">
      <c r="B189" s="6"/>
      <c r="C189" s="7" t="s">
        <v>217</v>
      </c>
      <c r="D189" s="9">
        <f>ROUND(($D$93*1000)/($D$16*D171),2)</f>
        <v>10.34</v>
      </c>
      <c r="E189" s="8" t="s">
        <v>214</v>
      </c>
      <c r="G189" s="6"/>
      <c r="H189" s="7" t="s">
        <v>217</v>
      </c>
      <c r="I189" s="9">
        <f>ROUND(($I$162*1000)/($I$160*I171),2)</f>
        <v>10.31</v>
      </c>
      <c r="J189" s="8" t="s">
        <v>214</v>
      </c>
    </row>
    <row r="190" spans="2:10" ht="17.25" x14ac:dyDescent="0.3">
      <c r="B190" s="82" t="s">
        <v>226</v>
      </c>
      <c r="C190" s="7" t="s">
        <v>218</v>
      </c>
      <c r="D190" s="9">
        <f>ROUND(($D$93*1000)/($D$16*D173),2)</f>
        <v>8.67</v>
      </c>
      <c r="E190" s="8" t="s">
        <v>214</v>
      </c>
      <c r="G190" s="82" t="s">
        <v>226</v>
      </c>
      <c r="H190" s="7" t="s">
        <v>218</v>
      </c>
      <c r="I190" s="9">
        <f>ROUND(($I$162*1000)/($I$160*I173),2)</f>
        <v>8.65</v>
      </c>
      <c r="J190" s="8" t="s">
        <v>214</v>
      </c>
    </row>
    <row r="191" spans="2:10" ht="17.25" x14ac:dyDescent="0.3">
      <c r="B191" s="6"/>
      <c r="C191" s="7" t="s">
        <v>218</v>
      </c>
      <c r="D191" s="85">
        <f>ROUND(($D$93*1000)/($D$16*D175),2)</f>
        <v>8.9600000000000009</v>
      </c>
      <c r="E191" s="86" t="s">
        <v>214</v>
      </c>
      <c r="G191" s="6"/>
      <c r="H191" s="7" t="s">
        <v>218</v>
      </c>
      <c r="I191" s="85">
        <f>ROUND((I162*1000)/(I160*I175),2)</f>
        <v>8.9600000000000009</v>
      </c>
      <c r="J191" s="86" t="s">
        <v>214</v>
      </c>
    </row>
    <row r="192" spans="2:10" ht="17.25" x14ac:dyDescent="0.3">
      <c r="B192" s="6" t="s">
        <v>225</v>
      </c>
      <c r="C192" s="7" t="s">
        <v>221</v>
      </c>
      <c r="D192" s="9">
        <f>ROUND(($D$93*1000)/($D$17*D9),2)</f>
        <v>18.059999999999999</v>
      </c>
      <c r="E192" s="8" t="s">
        <v>214</v>
      </c>
      <c r="G192" s="6" t="s">
        <v>225</v>
      </c>
      <c r="H192" s="7" t="s">
        <v>221</v>
      </c>
      <c r="I192" s="9">
        <f>ROUND((I162*1000)/(I161*D9),2)</f>
        <v>17.82</v>
      </c>
      <c r="J192" s="8" t="s">
        <v>214</v>
      </c>
    </row>
    <row r="193" spans="2:10" ht="17.25" x14ac:dyDescent="0.3">
      <c r="B193" s="6"/>
      <c r="C193" s="7" t="s">
        <v>222</v>
      </c>
      <c r="D193" s="9">
        <f>ROUND(($D$93*1000)/($D$17*D169),2)</f>
        <v>17.34</v>
      </c>
      <c r="E193" s="8" t="s">
        <v>214</v>
      </c>
      <c r="G193" s="6"/>
      <c r="H193" s="7" t="s">
        <v>222</v>
      </c>
      <c r="I193" s="9">
        <f>ROUND((I162*1000)/(I161*I169),2)</f>
        <v>17.11</v>
      </c>
      <c r="J193" s="8" t="s">
        <v>214</v>
      </c>
    </row>
    <row r="194" spans="2:10" ht="17.25" x14ac:dyDescent="0.3">
      <c r="B194" s="6"/>
      <c r="C194" s="7" t="s">
        <v>223</v>
      </c>
      <c r="D194" s="9">
        <f>ROUND(($D$93*1000)/($D$17*D171),2)</f>
        <v>16.670000000000002</v>
      </c>
      <c r="E194" s="8" t="s">
        <v>214</v>
      </c>
      <c r="G194" s="6"/>
      <c r="H194" s="7" t="s">
        <v>223</v>
      </c>
      <c r="I194" s="9">
        <f>ROUND((I162*1000)/(I161*I171),2)</f>
        <v>16.45</v>
      </c>
      <c r="J194" s="8" t="s">
        <v>214</v>
      </c>
    </row>
    <row r="195" spans="2:10" ht="18" thickBot="1" x14ac:dyDescent="0.35">
      <c r="B195" s="11"/>
      <c r="C195" s="38" t="s">
        <v>224</v>
      </c>
      <c r="D195" s="18">
        <f>ROUND(($D$93*1000)/($D$17*D175),2)</f>
        <v>14.45</v>
      </c>
      <c r="E195" s="13" t="s">
        <v>214</v>
      </c>
      <c r="G195" s="11"/>
      <c r="H195" s="38" t="s">
        <v>224</v>
      </c>
      <c r="I195" s="18">
        <f>ROUND((I162*1000)/(I161*I173),2)</f>
        <v>13.8</v>
      </c>
      <c r="J195" s="13" t="s">
        <v>214</v>
      </c>
    </row>
    <row r="196" spans="2:10" ht="15.75" thickBot="1" x14ac:dyDescent="0.3">
      <c r="C196" s="7"/>
      <c r="D196" s="1"/>
    </row>
    <row r="197" spans="2:10" ht="15.75" thickBot="1" x14ac:dyDescent="0.3">
      <c r="B197" s="133" t="s">
        <v>227</v>
      </c>
      <c r="C197" s="145"/>
      <c r="D197" s="145"/>
      <c r="E197" s="146"/>
      <c r="G197" s="133" t="s">
        <v>227</v>
      </c>
      <c r="H197" s="145"/>
      <c r="I197" s="145"/>
      <c r="J197" s="146"/>
    </row>
    <row r="198" spans="2:10" ht="17.25" x14ac:dyDescent="0.3">
      <c r="B198" s="14"/>
      <c r="C198" s="15" t="s">
        <v>22</v>
      </c>
      <c r="D198" s="76">
        <f>FLOOR(SQRT((O16+130)*O11/11.8),5)</f>
        <v>150</v>
      </c>
      <c r="E198" s="17" t="s">
        <v>3</v>
      </c>
      <c r="G198" s="14"/>
      <c r="H198" s="15" t="s">
        <v>22</v>
      </c>
      <c r="I198" s="81">
        <f>FLOOR(SQRT((I165+130)*I164/11.8),5)</f>
        <v>150</v>
      </c>
      <c r="J198" s="17" t="s">
        <v>3</v>
      </c>
    </row>
    <row r="199" spans="2:10" ht="17.25" x14ac:dyDescent="0.3">
      <c r="B199" s="6"/>
      <c r="C199" s="7" t="s">
        <v>32</v>
      </c>
      <c r="D199" s="9">
        <f>CEILING(11.8*D198^2/O11-O16,1)</f>
        <v>127</v>
      </c>
      <c r="E199" s="8" t="s">
        <v>5</v>
      </c>
      <c r="G199" s="6"/>
      <c r="H199" s="7" t="s">
        <v>32</v>
      </c>
      <c r="I199" s="9">
        <f>CEILING(11.8*I198^2/I164-I165,1)</f>
        <v>126</v>
      </c>
      <c r="J199" s="8" t="s">
        <v>5</v>
      </c>
    </row>
    <row r="200" spans="2:10" ht="17.25" x14ac:dyDescent="0.3">
      <c r="B200" s="6"/>
      <c r="C200" s="7" t="s">
        <v>33</v>
      </c>
      <c r="D200" s="9">
        <f>FLOOR(SQRT((O16+150)*O11/11.8),5)</f>
        <v>155</v>
      </c>
      <c r="E200" s="8" t="s">
        <v>3</v>
      </c>
      <c r="G200" s="6"/>
      <c r="H200" s="7" t="s">
        <v>33</v>
      </c>
      <c r="I200" s="9">
        <f>FLOOR(SQRT((I165+150)*I164/11.8),5)</f>
        <v>155</v>
      </c>
      <c r="J200" s="8" t="s">
        <v>3</v>
      </c>
    </row>
    <row r="201" spans="2:10" ht="17.25" x14ac:dyDescent="0.3">
      <c r="B201" s="6"/>
      <c r="C201" s="7" t="s">
        <v>34</v>
      </c>
      <c r="D201" s="9">
        <f>CEILING(11.8*D200^2/O11-O16,1)</f>
        <v>141</v>
      </c>
      <c r="E201" s="8" t="s">
        <v>5</v>
      </c>
      <c r="G201" s="6"/>
      <c r="H201" s="7" t="s">
        <v>34</v>
      </c>
      <c r="I201" s="9">
        <f>CEILING(11.8*I200^2/I164-I165,1)</f>
        <v>140</v>
      </c>
      <c r="J201" s="8" t="s">
        <v>5</v>
      </c>
    </row>
    <row r="202" spans="2:10" ht="17.25" x14ac:dyDescent="0.3">
      <c r="B202" s="6" t="s">
        <v>213</v>
      </c>
      <c r="C202" s="7" t="s">
        <v>211</v>
      </c>
      <c r="D202" s="9">
        <f>FLOOR(SQRT((O16+270)*O11/11.8),5)</f>
        <v>195</v>
      </c>
      <c r="E202" s="8" t="s">
        <v>3</v>
      </c>
      <c r="G202" s="6" t="s">
        <v>213</v>
      </c>
      <c r="H202" s="7" t="s">
        <v>211</v>
      </c>
      <c r="I202" s="9">
        <f>FLOOR(SQRT((I165+270)*I164/11.8),5)</f>
        <v>195</v>
      </c>
      <c r="J202" s="8" t="s">
        <v>3</v>
      </c>
    </row>
    <row r="203" spans="2:10" ht="17.25" x14ac:dyDescent="0.3">
      <c r="B203" s="6"/>
      <c r="C203" s="7" t="s">
        <v>212</v>
      </c>
      <c r="D203" s="9">
        <f>CEILING(11.8*D202^2/O11-O16,1)</f>
        <v>269</v>
      </c>
      <c r="E203" s="8" t="s">
        <v>5</v>
      </c>
      <c r="G203" s="6"/>
      <c r="H203" s="7" t="s">
        <v>212</v>
      </c>
      <c r="I203" s="9">
        <f>CEILING(11.8*I202^2/I164-I165,1)</f>
        <v>268</v>
      </c>
      <c r="J203" s="8" t="s">
        <v>5</v>
      </c>
    </row>
    <row r="204" spans="2:10" ht="18" thickBot="1" x14ac:dyDescent="0.35">
      <c r="B204" s="11"/>
      <c r="C204" s="38" t="s">
        <v>220</v>
      </c>
      <c r="D204" s="84">
        <f>FLOOR((I93*1000)/(O16*8),5)</f>
        <v>150</v>
      </c>
      <c r="E204" s="13" t="s">
        <v>3</v>
      </c>
      <c r="G204" s="11"/>
      <c r="H204" s="38" t="s">
        <v>220</v>
      </c>
      <c r="I204" s="84">
        <f>FLOOR((I167*1000)/(O16*8),5)</f>
        <v>150</v>
      </c>
      <c r="J204" s="13" t="s">
        <v>3</v>
      </c>
    </row>
    <row r="205" spans="2:10" ht="15.75" thickBot="1" x14ac:dyDescent="0.3">
      <c r="B205" s="133" t="s">
        <v>195</v>
      </c>
      <c r="C205" s="145"/>
      <c r="D205" s="145"/>
      <c r="E205" s="146"/>
      <c r="G205" s="133" t="s">
        <v>195</v>
      </c>
      <c r="H205" s="145"/>
      <c r="I205" s="145"/>
      <c r="J205" s="146"/>
    </row>
    <row r="206" spans="2:10" x14ac:dyDescent="0.25">
      <c r="B206" s="14" t="s">
        <v>219</v>
      </c>
      <c r="C206" s="15" t="s">
        <v>215</v>
      </c>
      <c r="D206" s="76">
        <f>ROUND((I84*1000)/($O$16*O9),2)</f>
        <v>11.2</v>
      </c>
      <c r="E206" s="17" t="s">
        <v>214</v>
      </c>
      <c r="G206" s="14" t="s">
        <v>219</v>
      </c>
      <c r="H206" s="15" t="s">
        <v>215</v>
      </c>
      <c r="I206" s="81">
        <f>ROUND(($I$163*1000)/($I$165*D9),2)</f>
        <v>11.22</v>
      </c>
      <c r="J206" s="17" t="s">
        <v>214</v>
      </c>
    </row>
    <row r="207" spans="2:10" ht="17.25" x14ac:dyDescent="0.3">
      <c r="B207" s="6"/>
      <c r="C207" s="7" t="s">
        <v>216</v>
      </c>
      <c r="D207" s="9">
        <f>ROUND(($I$84*1000)/($O$16*D198),2)</f>
        <v>8.9600000000000009</v>
      </c>
      <c r="E207" s="8" t="s">
        <v>214</v>
      </c>
      <c r="G207" s="6"/>
      <c r="H207" s="7" t="s">
        <v>216</v>
      </c>
      <c r="I207" s="9">
        <f>ROUND(($I$163*1000)/($I$165*I198),2)</f>
        <v>8.9700000000000006</v>
      </c>
      <c r="J207" s="8" t="s">
        <v>214</v>
      </c>
    </row>
    <row r="208" spans="2:10" ht="17.25" x14ac:dyDescent="0.3">
      <c r="B208" s="6"/>
      <c r="C208" s="7" t="s">
        <v>217</v>
      </c>
      <c r="D208" s="9">
        <f>ROUND(($I$84*1000)/($O$16*D200),2)</f>
        <v>8.67</v>
      </c>
      <c r="E208" s="8" t="s">
        <v>214</v>
      </c>
      <c r="G208" s="6"/>
      <c r="H208" s="7" t="s">
        <v>217</v>
      </c>
      <c r="I208" s="9">
        <f>ROUND(($I$163*1000)/($I$165*I200),2)</f>
        <v>8.68</v>
      </c>
      <c r="J208" s="8" t="s">
        <v>214</v>
      </c>
    </row>
    <row r="209" spans="2:10" ht="17.25" x14ac:dyDescent="0.3">
      <c r="B209" s="82" t="s">
        <v>226</v>
      </c>
      <c r="C209" s="7" t="s">
        <v>218</v>
      </c>
      <c r="D209" s="83">
        <f>ROUND(($I$84*1000)/($O$16*D202),2)</f>
        <v>6.89</v>
      </c>
      <c r="E209" s="8" t="s">
        <v>214</v>
      </c>
      <c r="G209" s="82" t="s">
        <v>226</v>
      </c>
      <c r="H209" s="7" t="s">
        <v>218</v>
      </c>
      <c r="I209" s="83">
        <f>ROUND(($I$163*1000)/($I$165*I202),2)</f>
        <v>6.9</v>
      </c>
      <c r="J209" s="8" t="s">
        <v>214</v>
      </c>
    </row>
    <row r="210" spans="2:10" ht="17.25" x14ac:dyDescent="0.3">
      <c r="B210" s="6"/>
      <c r="C210" s="7" t="s">
        <v>218</v>
      </c>
      <c r="D210" s="9">
        <f>ROUND(($I$84*1000)/($O$16*D204),2)</f>
        <v>8.9600000000000009</v>
      </c>
      <c r="E210" s="8" t="s">
        <v>214</v>
      </c>
      <c r="G210" s="6"/>
      <c r="H210" s="7" t="s">
        <v>218</v>
      </c>
      <c r="I210" s="9">
        <f>ROUND(($I$163*1000)/($I$165*I204),2)</f>
        <v>8.9700000000000006</v>
      </c>
      <c r="J210" s="8" t="s">
        <v>214</v>
      </c>
    </row>
    <row r="211" spans="2:10" ht="17.25" x14ac:dyDescent="0.3">
      <c r="B211" s="6" t="s">
        <v>225</v>
      </c>
      <c r="C211" s="7" t="s">
        <v>221</v>
      </c>
      <c r="D211" s="9">
        <f>ROUND(($I$84*1000)/($O$17*O9),2)</f>
        <v>17.23</v>
      </c>
      <c r="E211" s="8" t="s">
        <v>214</v>
      </c>
      <c r="G211" s="6" t="s">
        <v>225</v>
      </c>
      <c r="H211" s="7" t="s">
        <v>221</v>
      </c>
      <c r="I211" s="9">
        <f>ROUND(($I$163*1000)/($I$166*D9),2)</f>
        <v>17.260000000000002</v>
      </c>
      <c r="J211" s="8" t="s">
        <v>214</v>
      </c>
    </row>
    <row r="212" spans="2:10" ht="17.25" x14ac:dyDescent="0.3">
      <c r="B212" s="6"/>
      <c r="C212" s="7" t="s">
        <v>222</v>
      </c>
      <c r="D212" s="9">
        <f>ROUND(($I$84*1000)/($O$17*D198),2)</f>
        <v>13.78</v>
      </c>
      <c r="E212" s="8" t="s">
        <v>214</v>
      </c>
      <c r="G212" s="6"/>
      <c r="H212" s="7" t="s">
        <v>222</v>
      </c>
      <c r="I212" s="9">
        <f>ROUND(($I$163*1000)/($I$166*I198),2)</f>
        <v>13.81</v>
      </c>
      <c r="J212" s="8" t="s">
        <v>214</v>
      </c>
    </row>
    <row r="213" spans="2:10" ht="17.25" x14ac:dyDescent="0.3">
      <c r="B213" s="6"/>
      <c r="C213" s="7" t="s">
        <v>223</v>
      </c>
      <c r="D213" s="9">
        <f>ROUND(($I$84*1000)/($O$17*D200),2)</f>
        <v>13.34</v>
      </c>
      <c r="E213" s="8" t="s">
        <v>214</v>
      </c>
      <c r="G213" s="6"/>
      <c r="H213" s="7" t="s">
        <v>223</v>
      </c>
      <c r="I213" s="9">
        <f>ROUND(($I$163*1000)/($I$166*I200),2)</f>
        <v>13.36</v>
      </c>
      <c r="J213" s="8" t="s">
        <v>214</v>
      </c>
    </row>
    <row r="214" spans="2:10" ht="18" thickBot="1" x14ac:dyDescent="0.35">
      <c r="B214" s="11"/>
      <c r="C214" s="38" t="s">
        <v>224</v>
      </c>
      <c r="D214" s="18">
        <f>ROUND(($I$84*1000)/($O$17*D204),2)</f>
        <v>13.78</v>
      </c>
      <c r="E214" s="13" t="s">
        <v>214</v>
      </c>
      <c r="G214" s="11"/>
      <c r="H214" s="38" t="s">
        <v>224</v>
      </c>
      <c r="I214" s="9">
        <f>ROUND(($I$163*1000)/($I$166*I204),2)</f>
        <v>13.81</v>
      </c>
      <c r="J214" s="13" t="s">
        <v>214</v>
      </c>
    </row>
    <row r="215" spans="2:10" ht="15.75" thickBot="1" x14ac:dyDescent="0.3">
      <c r="B215" s="133" t="s">
        <v>196</v>
      </c>
      <c r="C215" s="145"/>
      <c r="D215" s="145"/>
      <c r="E215" s="146"/>
      <c r="G215" s="133" t="s">
        <v>196</v>
      </c>
      <c r="H215" s="145"/>
      <c r="I215" s="145"/>
      <c r="J215" s="146"/>
    </row>
    <row r="216" spans="2:10" x14ac:dyDescent="0.25">
      <c r="B216" s="14" t="s">
        <v>219</v>
      </c>
      <c r="C216" s="15" t="s">
        <v>215</v>
      </c>
      <c r="D216" s="76">
        <f>ROUND(($O$22*1000)/($O$16*D9),2)</f>
        <v>10</v>
      </c>
      <c r="E216" s="17" t="s">
        <v>214</v>
      </c>
      <c r="G216" s="14" t="s">
        <v>219</v>
      </c>
      <c r="H216" s="15" t="s">
        <v>215</v>
      </c>
      <c r="I216" s="81">
        <f>ROUND((I167*1000)/(I165*D9),2)</f>
        <v>10.02</v>
      </c>
      <c r="J216" s="17" t="s">
        <v>214</v>
      </c>
    </row>
    <row r="217" spans="2:10" ht="17.25" x14ac:dyDescent="0.3">
      <c r="B217" s="6"/>
      <c r="C217" s="7" t="s">
        <v>216</v>
      </c>
      <c r="D217" s="9">
        <f>ROUND(($O$22*1000)/($O$16*D198),2)</f>
        <v>8</v>
      </c>
      <c r="E217" s="8" t="s">
        <v>214</v>
      </c>
      <c r="G217" s="6"/>
      <c r="H217" s="7" t="s">
        <v>216</v>
      </c>
      <c r="I217" s="9">
        <f>ROUND((I167*1000)/(I165*I198),2)</f>
        <v>8.01</v>
      </c>
      <c r="J217" s="8" t="s">
        <v>214</v>
      </c>
    </row>
    <row r="218" spans="2:10" ht="17.25" x14ac:dyDescent="0.3">
      <c r="B218" s="6"/>
      <c r="C218" s="7" t="s">
        <v>217</v>
      </c>
      <c r="D218" s="83">
        <f>ROUND(($O$22*1000)/($O$16*D200),2)</f>
        <v>7.74</v>
      </c>
      <c r="E218" s="8" t="s">
        <v>214</v>
      </c>
      <c r="G218" s="6"/>
      <c r="H218" s="7" t="s">
        <v>217</v>
      </c>
      <c r="I218" s="83">
        <f>ROUND((I167*1000)/(I165*I200),2)</f>
        <v>7.75</v>
      </c>
      <c r="J218" s="8" t="s">
        <v>214</v>
      </c>
    </row>
    <row r="219" spans="2:10" ht="17.25" x14ac:dyDescent="0.3">
      <c r="B219" s="82" t="s">
        <v>226</v>
      </c>
      <c r="C219" s="7" t="s">
        <v>218</v>
      </c>
      <c r="D219" s="83">
        <f>ROUND(($O$22*1000)/($O$16*D202),2)</f>
        <v>6.15</v>
      </c>
      <c r="E219" s="8" t="s">
        <v>214</v>
      </c>
      <c r="G219" s="82" t="s">
        <v>226</v>
      </c>
      <c r="H219" s="7" t="s">
        <v>218</v>
      </c>
      <c r="I219" s="83">
        <f>ROUND((I167*1000)/(I165*I202),2)</f>
        <v>6.16</v>
      </c>
      <c r="J219" s="8" t="s">
        <v>214</v>
      </c>
    </row>
    <row r="220" spans="2:10" ht="17.25" x14ac:dyDescent="0.3">
      <c r="B220" s="6"/>
      <c r="C220" s="7" t="s">
        <v>218</v>
      </c>
      <c r="D220" s="85">
        <f>ROUND(($O$22*1000)/($O$16*D204),2)</f>
        <v>8</v>
      </c>
      <c r="E220" s="86" t="s">
        <v>214</v>
      </c>
      <c r="G220" s="6"/>
      <c r="H220" s="7" t="s">
        <v>218</v>
      </c>
      <c r="I220" s="85">
        <f>ROUND(($O$22*1000)/($O$16*I204),2)</f>
        <v>8</v>
      </c>
      <c r="J220" s="86" t="s">
        <v>214</v>
      </c>
    </row>
    <row r="221" spans="2:10" ht="17.25" x14ac:dyDescent="0.3">
      <c r="B221" s="6" t="s">
        <v>225</v>
      </c>
      <c r="C221" s="7" t="s">
        <v>221</v>
      </c>
      <c r="D221" s="9">
        <f>ROUND(($O$22*1000)/($O$17*D9),2)</f>
        <v>15.38</v>
      </c>
      <c r="E221" s="8" t="s">
        <v>214</v>
      </c>
      <c r="G221" s="6" t="s">
        <v>225</v>
      </c>
      <c r="H221" s="7" t="s">
        <v>221</v>
      </c>
      <c r="I221" s="9">
        <f>ROUND(($I$167*1000)/($I$166*D9),2)</f>
        <v>15.41</v>
      </c>
      <c r="J221" s="8" t="s">
        <v>214</v>
      </c>
    </row>
    <row r="222" spans="2:10" ht="17.25" x14ac:dyDescent="0.3">
      <c r="B222" s="6"/>
      <c r="C222" s="7" t="s">
        <v>222</v>
      </c>
      <c r="D222" s="9">
        <f>ROUND(($O$22*1000)/($O$17*D198),2)</f>
        <v>12.31</v>
      </c>
      <c r="E222" s="8" t="s">
        <v>214</v>
      </c>
      <c r="G222" s="6"/>
      <c r="H222" s="7" t="s">
        <v>222</v>
      </c>
      <c r="I222" s="9">
        <f>ROUND(($I$167*1000)/($I$166*I198),2)</f>
        <v>12.33</v>
      </c>
      <c r="J222" s="8" t="s">
        <v>214</v>
      </c>
    </row>
    <row r="223" spans="2:10" ht="17.25" x14ac:dyDescent="0.3">
      <c r="B223" s="6"/>
      <c r="C223" s="7" t="s">
        <v>223</v>
      </c>
      <c r="D223" s="9">
        <f>ROUND(($O$22*1000)/($O$17*D200),2)</f>
        <v>11.91</v>
      </c>
      <c r="E223" s="8" t="s">
        <v>214</v>
      </c>
      <c r="G223" s="6"/>
      <c r="H223" s="7" t="s">
        <v>223</v>
      </c>
      <c r="I223" s="9">
        <f>ROUND(($I$167*1000)/($I$166*I200),2)</f>
        <v>11.93</v>
      </c>
      <c r="J223" s="8" t="s">
        <v>214</v>
      </c>
    </row>
    <row r="224" spans="2:10" ht="18" thickBot="1" x14ac:dyDescent="0.35">
      <c r="B224" s="11"/>
      <c r="C224" s="38" t="s">
        <v>224</v>
      </c>
      <c r="D224" s="18">
        <f>ROUND(($O$22*1000)/($O$17*D204),2)</f>
        <v>12.31</v>
      </c>
      <c r="E224" s="13" t="s">
        <v>214</v>
      </c>
      <c r="G224" s="11"/>
      <c r="H224" s="38" t="s">
        <v>224</v>
      </c>
      <c r="I224" s="18">
        <f>ROUND(($I$167*1000)/($I$166*I204),2)</f>
        <v>12.33</v>
      </c>
      <c r="J224" s="13" t="s">
        <v>214</v>
      </c>
    </row>
    <row r="226" spans="2:22" ht="15.75" thickBot="1" x14ac:dyDescent="0.3"/>
    <row r="227" spans="2:22" ht="15.75" thickBot="1" x14ac:dyDescent="0.3">
      <c r="B227" s="177" t="s">
        <v>231</v>
      </c>
      <c r="C227" s="122"/>
      <c r="D227" s="122"/>
      <c r="E227" s="123"/>
      <c r="V227">
        <v>5.1630000000000003</v>
      </c>
    </row>
    <row r="228" spans="2:22" ht="15.75" thickBot="1" x14ac:dyDescent="0.3">
      <c r="B228" s="121" t="s">
        <v>282</v>
      </c>
      <c r="C228" s="122"/>
      <c r="D228" s="122"/>
      <c r="E228" s="123"/>
      <c r="V228">
        <v>4.46</v>
      </c>
    </row>
    <row r="229" spans="2:22" ht="15.75" thickBot="1" x14ac:dyDescent="0.3">
      <c r="B229" s="178" t="s">
        <v>232</v>
      </c>
      <c r="C229" s="126"/>
      <c r="D229" s="126"/>
      <c r="E229" s="179"/>
      <c r="M229" s="121" t="s">
        <v>263</v>
      </c>
      <c r="N229" s="122"/>
      <c r="O229" s="122"/>
      <c r="P229" s="123"/>
      <c r="R229" t="s">
        <v>336</v>
      </c>
      <c r="S229" t="s">
        <v>238</v>
      </c>
      <c r="T229">
        <v>8500</v>
      </c>
      <c r="V229">
        <v>10000</v>
      </c>
    </row>
    <row r="230" spans="2:22" ht="15.75" thickBot="1" x14ac:dyDescent="0.3">
      <c r="B230" t="s">
        <v>75</v>
      </c>
      <c r="C230" t="s">
        <v>233</v>
      </c>
      <c r="D230" s="97">
        <v>121.3</v>
      </c>
      <c r="E230" t="s">
        <v>61</v>
      </c>
      <c r="M230" s="121" t="s">
        <v>264</v>
      </c>
      <c r="N230" s="122"/>
      <c r="O230" s="122"/>
      <c r="P230" s="123"/>
      <c r="R230" t="s">
        <v>267</v>
      </c>
      <c r="S230" t="s">
        <v>268</v>
      </c>
      <c r="T230">
        <f>6.152-5.163</f>
        <v>0.98899999999999988</v>
      </c>
      <c r="U230" t="s">
        <v>252</v>
      </c>
      <c r="V230">
        <f>V227-V228</f>
        <v>0.70300000000000029</v>
      </c>
    </row>
    <row r="231" spans="2:22" ht="15.75" thickBot="1" x14ac:dyDescent="0.3">
      <c r="B231" t="s">
        <v>234</v>
      </c>
      <c r="C231" t="s">
        <v>248</v>
      </c>
      <c r="D231">
        <v>365.10399999999998</v>
      </c>
      <c r="E231" t="s">
        <v>4</v>
      </c>
      <c r="G231" s="121" t="s">
        <v>253</v>
      </c>
      <c r="H231" s="122"/>
      <c r="I231" s="122"/>
      <c r="J231" s="123"/>
      <c r="M231" t="s">
        <v>267</v>
      </c>
      <c r="N231" t="s">
        <v>268</v>
      </c>
      <c r="O231" s="68">
        <f>ABS(I234-I245)</f>
        <v>1.6927059130382478</v>
      </c>
      <c r="P231" t="s">
        <v>252</v>
      </c>
      <c r="R231" t="s">
        <v>266</v>
      </c>
      <c r="S231" t="s">
        <v>265</v>
      </c>
      <c r="T231">
        <f>(T229*0.5)*(T230/1000)</f>
        <v>4.2032499999999997</v>
      </c>
      <c r="U231" t="s">
        <v>4</v>
      </c>
      <c r="V231">
        <f>V229/2*V230/1000</f>
        <v>3.5150000000000015</v>
      </c>
    </row>
    <row r="232" spans="2:22" ht="15.75" thickBot="1" x14ac:dyDescent="0.3">
      <c r="G232" t="s">
        <v>254</v>
      </c>
      <c r="H232" t="s">
        <v>245</v>
      </c>
      <c r="I232" s="97">
        <f>D234-D230</f>
        <v>8.6795000000009281E-2</v>
      </c>
      <c r="J232" t="s">
        <v>61</v>
      </c>
      <c r="M232" t="s">
        <v>266</v>
      </c>
      <c r="N232" t="s">
        <v>265</v>
      </c>
      <c r="O232" s="68">
        <f>(D236*0.5)*(O231/1000)</f>
        <v>6.1783765825896042</v>
      </c>
      <c r="P232" t="s">
        <v>4</v>
      </c>
      <c r="R232" t="s">
        <v>270</v>
      </c>
      <c r="S232" t="s">
        <v>269</v>
      </c>
      <c r="T232">
        <f>T231^2/(2*T229)</f>
        <v>1.0392535624999999E-3</v>
      </c>
      <c r="U232" t="s">
        <v>4</v>
      </c>
    </row>
    <row r="233" spans="2:22" ht="15.75" thickBot="1" x14ac:dyDescent="0.3">
      <c r="B233" s="178" t="s">
        <v>235</v>
      </c>
      <c r="C233" s="126"/>
      <c r="D233" s="126"/>
      <c r="E233" s="179"/>
      <c r="G233" t="s">
        <v>246</v>
      </c>
      <c r="H233" t="s">
        <v>247</v>
      </c>
      <c r="I233">
        <f>D235-D231</f>
        <v>-0.53399999999999181</v>
      </c>
      <c r="J233" t="s">
        <v>4</v>
      </c>
      <c r="M233" t="s">
        <v>270</v>
      </c>
      <c r="N233" t="s">
        <v>269</v>
      </c>
      <c r="O233" s="96">
        <f>O232^2/(2*D236)</f>
        <v>2.6145436435816159E-3</v>
      </c>
      <c r="P233" t="s">
        <v>4</v>
      </c>
      <c r="S233" t="s">
        <v>271</v>
      </c>
      <c r="U233" t="s">
        <v>4</v>
      </c>
    </row>
    <row r="234" spans="2:22" x14ac:dyDescent="0.25">
      <c r="B234" t="s">
        <v>75</v>
      </c>
      <c r="C234" t="s">
        <v>236</v>
      </c>
      <c r="D234" s="97">
        <v>121.38679500000001</v>
      </c>
      <c r="E234" t="s">
        <v>61</v>
      </c>
      <c r="G234" t="s">
        <v>243</v>
      </c>
      <c r="H234" t="s">
        <v>244</v>
      </c>
      <c r="I234" s="68">
        <f>(I233/(I232*1000))*1000</f>
        <v>-6.1524281352604948</v>
      </c>
      <c r="J234" t="s">
        <v>252</v>
      </c>
      <c r="N234" t="s">
        <v>271</v>
      </c>
      <c r="O234" s="68">
        <f>ABS((D236*I234)/1000)</f>
        <v>44.912725387401608</v>
      </c>
      <c r="P234" t="s">
        <v>4</v>
      </c>
      <c r="S234" t="s">
        <v>272</v>
      </c>
      <c r="U234" t="s">
        <v>4</v>
      </c>
    </row>
    <row r="235" spans="2:22" x14ac:dyDescent="0.25">
      <c r="B235" t="s">
        <v>234</v>
      </c>
      <c r="C235" t="s">
        <v>249</v>
      </c>
      <c r="D235">
        <v>364.57</v>
      </c>
      <c r="E235" t="s">
        <v>4</v>
      </c>
      <c r="N235" t="s">
        <v>272</v>
      </c>
      <c r="O235" s="68">
        <f>ABS((D236*I245)/1000)</f>
        <v>32.555972222222401</v>
      </c>
      <c r="P235" t="s">
        <v>4</v>
      </c>
      <c r="R235" t="s">
        <v>273</v>
      </c>
      <c r="S235" t="s">
        <v>274</v>
      </c>
      <c r="U235" t="s">
        <v>4</v>
      </c>
    </row>
    <row r="236" spans="2:22" x14ac:dyDescent="0.25">
      <c r="B236" t="s">
        <v>237</v>
      </c>
      <c r="C236" t="s">
        <v>238</v>
      </c>
      <c r="D236">
        <v>7300</v>
      </c>
      <c r="E236" t="s">
        <v>4</v>
      </c>
      <c r="M236" t="s">
        <v>273</v>
      </c>
      <c r="N236" t="s">
        <v>274</v>
      </c>
      <c r="O236" s="68">
        <f>2*O232</f>
        <v>12.356753165179208</v>
      </c>
      <c r="P236" t="s">
        <v>4</v>
      </c>
      <c r="R236" t="s">
        <v>276</v>
      </c>
      <c r="S236" t="s">
        <v>275</v>
      </c>
      <c r="U236" t="s">
        <v>4</v>
      </c>
    </row>
    <row r="237" spans="2:22" ht="15.75" thickBot="1" x14ac:dyDescent="0.3">
      <c r="G237" s="51"/>
      <c r="H237" s="51"/>
      <c r="I237" s="51"/>
      <c r="J237" s="51"/>
      <c r="M237" t="s">
        <v>276</v>
      </c>
      <c r="N237" t="s">
        <v>275</v>
      </c>
      <c r="O237" s="68">
        <f>O234-O235</f>
        <v>12.356753165179207</v>
      </c>
      <c r="P237" t="s">
        <v>4</v>
      </c>
    </row>
    <row r="238" spans="2:22" ht="15.75" thickBot="1" x14ac:dyDescent="0.3">
      <c r="B238" s="171" t="s">
        <v>308</v>
      </c>
      <c r="C238" s="172"/>
      <c r="D238" s="172"/>
      <c r="E238" s="173"/>
      <c r="G238" s="51"/>
      <c r="H238" s="51"/>
      <c r="I238" s="51"/>
      <c r="J238" s="51"/>
      <c r="O238" s="68"/>
    </row>
    <row r="239" spans="2:22" x14ac:dyDescent="0.25">
      <c r="B239" t="s">
        <v>75</v>
      </c>
      <c r="D239">
        <v>121.934406</v>
      </c>
      <c r="E239" t="s">
        <v>61</v>
      </c>
      <c r="G239" s="51"/>
      <c r="H239" s="51"/>
      <c r="I239" s="51"/>
      <c r="J239" s="51"/>
      <c r="O239" s="68"/>
    </row>
    <row r="240" spans="2:22" x14ac:dyDescent="0.25">
      <c r="B240" t="s">
        <v>309</v>
      </c>
      <c r="D240" s="97">
        <f>D239-D234</f>
        <v>0.54761099999998919</v>
      </c>
      <c r="E240" t="s">
        <v>61</v>
      </c>
      <c r="G240" s="51"/>
      <c r="H240" s="51"/>
      <c r="I240" s="51"/>
      <c r="J240" s="51"/>
      <c r="O240" s="68"/>
    </row>
    <row r="241" spans="2:21" ht="15.75" thickBot="1" x14ac:dyDescent="0.3">
      <c r="B241" t="s">
        <v>234</v>
      </c>
      <c r="D241" s="68">
        <f>D235+((I245*(D240*1000))/1000)</f>
        <v>362.12780705416668</v>
      </c>
      <c r="E241" t="s">
        <v>4</v>
      </c>
      <c r="O241" s="68"/>
    </row>
    <row r="242" spans="2:21" ht="15.75" thickBot="1" x14ac:dyDescent="0.3">
      <c r="B242" t="s">
        <v>317</v>
      </c>
      <c r="D242" s="68">
        <f>(D239-O278+D49/1000)*1000</f>
        <v>257.30400000000685</v>
      </c>
      <c r="E242" t="s">
        <v>4</v>
      </c>
      <c r="G242" s="121" t="s">
        <v>255</v>
      </c>
      <c r="H242" s="122"/>
      <c r="I242" s="122"/>
      <c r="J242" s="123"/>
      <c r="O242" s="68"/>
    </row>
    <row r="243" spans="2:21" ht="15.75" thickBot="1" x14ac:dyDescent="0.3">
      <c r="G243" t="s">
        <v>254</v>
      </c>
      <c r="H243" t="s">
        <v>256</v>
      </c>
      <c r="I243" s="97">
        <f>D245-D234</f>
        <v>0.71999999999999886</v>
      </c>
      <c r="J243" t="s">
        <v>61</v>
      </c>
    </row>
    <row r="244" spans="2:21" ht="15.75" thickBot="1" x14ac:dyDescent="0.3">
      <c r="B244" s="121" t="s">
        <v>239</v>
      </c>
      <c r="C244" s="122"/>
      <c r="D244" s="122"/>
      <c r="E244" s="123"/>
      <c r="G244" t="s">
        <v>246</v>
      </c>
      <c r="H244" t="s">
        <v>257</v>
      </c>
      <c r="I244">
        <f>D246-D235</f>
        <v>-3.2110000000000127</v>
      </c>
      <c r="J244" t="s">
        <v>4</v>
      </c>
    </row>
    <row r="245" spans="2:21" ht="15.75" thickBot="1" x14ac:dyDescent="0.3">
      <c r="B245" t="s">
        <v>75</v>
      </c>
      <c r="C245" t="s">
        <v>240</v>
      </c>
      <c r="D245" s="97">
        <v>122.10679500000001</v>
      </c>
      <c r="E245" t="s">
        <v>61</v>
      </c>
      <c r="G245" t="s">
        <v>243</v>
      </c>
      <c r="H245" t="s">
        <v>258</v>
      </c>
      <c r="I245" s="68">
        <f>(I244/(I243*1000))*1000</f>
        <v>-4.459722222222247</v>
      </c>
      <c r="J245" t="s">
        <v>252</v>
      </c>
      <c r="M245" s="121" t="s">
        <v>281</v>
      </c>
      <c r="N245" s="122"/>
      <c r="O245" s="122"/>
      <c r="P245" s="123"/>
    </row>
    <row r="246" spans="2:21" ht="15.75" thickBot="1" x14ac:dyDescent="0.3">
      <c r="B246" t="s">
        <v>234</v>
      </c>
      <c r="C246" t="s">
        <v>250</v>
      </c>
      <c r="D246">
        <v>361.35899999999998</v>
      </c>
      <c r="E246" t="s">
        <v>4</v>
      </c>
      <c r="H246" s="98"/>
      <c r="M246" t="s">
        <v>267</v>
      </c>
      <c r="N246" t="s">
        <v>268</v>
      </c>
      <c r="O246" s="68">
        <f>ABS(I245-I250)</f>
        <v>0.29264972963745439</v>
      </c>
      <c r="P246" t="s">
        <v>252</v>
      </c>
    </row>
    <row r="247" spans="2:21" ht="15.75" thickBot="1" x14ac:dyDescent="0.3">
      <c r="B247" t="s">
        <v>237</v>
      </c>
      <c r="C247" t="s">
        <v>238</v>
      </c>
      <c r="D247">
        <v>6800</v>
      </c>
      <c r="E247" t="s">
        <v>4</v>
      </c>
      <c r="G247" s="121" t="s">
        <v>259</v>
      </c>
      <c r="H247" s="122"/>
      <c r="I247" s="122"/>
      <c r="J247" s="123"/>
      <c r="M247" t="s">
        <v>266</v>
      </c>
      <c r="N247" t="s">
        <v>265</v>
      </c>
      <c r="O247" s="68">
        <f>(D247*0.5)*(O246/1000)</f>
        <v>0.99500908076734484</v>
      </c>
      <c r="P247" t="s">
        <v>4</v>
      </c>
    </row>
    <row r="248" spans="2:21" ht="15.75" thickBot="1" x14ac:dyDescent="0.3">
      <c r="G248" t="s">
        <v>254</v>
      </c>
      <c r="H248" t="s">
        <v>260</v>
      </c>
      <c r="I248" s="97">
        <f>D250-D245</f>
        <v>0.29522099999999796</v>
      </c>
      <c r="J248" t="s">
        <v>61</v>
      </c>
      <c r="M248" t="s">
        <v>270</v>
      </c>
      <c r="N248" t="s">
        <v>269</v>
      </c>
      <c r="O248" s="96">
        <f>O247^2/(2*D247)</f>
        <v>7.2797284618343868E-5</v>
      </c>
      <c r="P248" t="s">
        <v>4</v>
      </c>
    </row>
    <row r="249" spans="2:21" ht="15.75" thickBot="1" x14ac:dyDescent="0.3">
      <c r="B249" s="121" t="s">
        <v>241</v>
      </c>
      <c r="C249" s="122"/>
      <c r="D249" s="122"/>
      <c r="E249" s="123"/>
      <c r="G249" t="s">
        <v>246</v>
      </c>
      <c r="H249" t="s">
        <v>261</v>
      </c>
      <c r="I249">
        <f>D251-D246</f>
        <v>-1.4029999999999632</v>
      </c>
      <c r="J249" t="s">
        <v>4</v>
      </c>
      <c r="N249" t="s">
        <v>271</v>
      </c>
      <c r="O249" s="68">
        <f>ABS((D247*I245)/1000)</f>
        <v>30.326111111111281</v>
      </c>
      <c r="P249" t="s">
        <v>4</v>
      </c>
    </row>
    <row r="250" spans="2:21" x14ac:dyDescent="0.25">
      <c r="B250" t="s">
        <v>75</v>
      </c>
      <c r="C250" t="s">
        <v>242</v>
      </c>
      <c r="D250" s="97">
        <v>122.402016</v>
      </c>
      <c r="E250" t="s">
        <v>61</v>
      </c>
      <c r="G250" t="s">
        <v>243</v>
      </c>
      <c r="H250" t="s">
        <v>262</v>
      </c>
      <c r="I250" s="68">
        <f>(I249/(I248*1000))*1000</f>
        <v>-4.7523719518597014</v>
      </c>
      <c r="J250" t="s">
        <v>252</v>
      </c>
      <c r="N250" t="s">
        <v>272</v>
      </c>
      <c r="O250" s="68">
        <f>ABS((D247*I250)/1000)</f>
        <v>32.316129272645966</v>
      </c>
      <c r="P250" t="s">
        <v>4</v>
      </c>
    </row>
    <row r="251" spans="2:21" x14ac:dyDescent="0.25">
      <c r="B251" t="s">
        <v>234</v>
      </c>
      <c r="C251" t="s">
        <v>251</v>
      </c>
      <c r="D251">
        <v>359.95600000000002</v>
      </c>
      <c r="E251" t="s">
        <v>4</v>
      </c>
      <c r="M251" t="s">
        <v>273</v>
      </c>
      <c r="N251" t="s">
        <v>274</v>
      </c>
      <c r="O251" s="68">
        <f>2*O247</f>
        <v>1.9900181615346897</v>
      </c>
      <c r="P251" t="s">
        <v>4</v>
      </c>
    </row>
    <row r="252" spans="2:21" x14ac:dyDescent="0.25">
      <c r="M252" t="s">
        <v>276</v>
      </c>
      <c r="N252" t="s">
        <v>275</v>
      </c>
      <c r="O252" s="68">
        <f>O249-O250</f>
        <v>-1.9900181615346852</v>
      </c>
      <c r="P252" t="s">
        <v>4</v>
      </c>
    </row>
    <row r="253" spans="2:21" ht="15.75" thickBot="1" x14ac:dyDescent="0.3"/>
    <row r="254" spans="2:21" ht="15.75" thickBot="1" x14ac:dyDescent="0.3">
      <c r="B254" s="121" t="s">
        <v>283</v>
      </c>
      <c r="C254" s="122"/>
      <c r="D254" s="122"/>
      <c r="E254" s="123"/>
    </row>
    <row r="255" spans="2:21" ht="15.75" thickBot="1" x14ac:dyDescent="0.3">
      <c r="B255" s="121" t="s">
        <v>284</v>
      </c>
      <c r="C255" s="122"/>
      <c r="D255" s="122"/>
      <c r="E255" s="123"/>
      <c r="M255" s="116"/>
      <c r="N255" s="116"/>
      <c r="O255" s="116"/>
      <c r="P255" s="116"/>
      <c r="Q255" s="117"/>
      <c r="R255" s="117"/>
      <c r="S255" s="117"/>
      <c r="T255" s="117"/>
      <c r="U255" s="117"/>
    </row>
    <row r="256" spans="2:21" ht="15.75" thickBot="1" x14ac:dyDescent="0.3">
      <c r="B256" s="178" t="s">
        <v>232</v>
      </c>
      <c r="C256" s="126"/>
      <c r="D256" s="126"/>
      <c r="E256" s="179"/>
      <c r="M256" s="117"/>
      <c r="N256" s="117"/>
      <c r="O256" s="117"/>
      <c r="P256" s="117"/>
      <c r="Q256" s="117"/>
      <c r="R256" s="117"/>
      <c r="S256" s="117"/>
      <c r="T256" s="117"/>
      <c r="U256" s="117"/>
    </row>
    <row r="257" spans="2:21" ht="15.75" thickBot="1" x14ac:dyDescent="0.3">
      <c r="B257" t="s">
        <v>75</v>
      </c>
      <c r="C257" t="s">
        <v>233</v>
      </c>
      <c r="D257" s="106">
        <v>121.3</v>
      </c>
      <c r="E257" t="s">
        <v>61</v>
      </c>
      <c r="M257" s="117"/>
      <c r="N257" s="117"/>
      <c r="O257" s="117"/>
      <c r="P257" s="117"/>
      <c r="Q257" s="117"/>
      <c r="R257" s="118"/>
      <c r="S257" s="118"/>
      <c r="T257" s="118"/>
      <c r="U257" s="118"/>
    </row>
    <row r="258" spans="2:21" ht="17.25" thickBot="1" x14ac:dyDescent="0.35">
      <c r="B258" t="s">
        <v>234</v>
      </c>
      <c r="C258" t="s">
        <v>248</v>
      </c>
      <c r="D258">
        <v>365.10399999999998</v>
      </c>
      <c r="E258" t="s">
        <v>4</v>
      </c>
      <c r="G258" s="121" t="s">
        <v>253</v>
      </c>
      <c r="H258" s="122"/>
      <c r="I258" s="122"/>
      <c r="J258" s="123"/>
      <c r="M258" s="117"/>
      <c r="N258" s="117"/>
      <c r="O258" s="117"/>
      <c r="P258" s="117"/>
      <c r="Q258" s="117"/>
      <c r="R258" s="119"/>
      <c r="S258" s="118"/>
      <c r="T258" s="118"/>
      <c r="U258" s="118"/>
    </row>
    <row r="259" spans="2:21" ht="15.75" thickBot="1" x14ac:dyDescent="0.3">
      <c r="G259" t="s">
        <v>254</v>
      </c>
      <c r="H259" t="s">
        <v>245</v>
      </c>
      <c r="I259" s="97">
        <f>D261-D257</f>
        <v>8.2907000000005837E-2</v>
      </c>
      <c r="J259" t="s">
        <v>61</v>
      </c>
    </row>
    <row r="260" spans="2:21" ht="15.75" thickBot="1" x14ac:dyDescent="0.3">
      <c r="B260" s="178" t="s">
        <v>235</v>
      </c>
      <c r="C260" s="126"/>
      <c r="D260" s="126"/>
      <c r="E260" s="179"/>
      <c r="G260" t="s">
        <v>246</v>
      </c>
      <c r="H260" t="s">
        <v>247</v>
      </c>
      <c r="I260">
        <f>D262-D258</f>
        <v>-0.51999999999998181</v>
      </c>
      <c r="J260" t="s">
        <v>4</v>
      </c>
    </row>
    <row r="261" spans="2:21" x14ac:dyDescent="0.25">
      <c r="B261" t="s">
        <v>75</v>
      </c>
      <c r="C261" t="s">
        <v>236</v>
      </c>
      <c r="D261" s="106">
        <v>121.382907</v>
      </c>
      <c r="E261" t="s">
        <v>61</v>
      </c>
      <c r="G261" t="s">
        <v>243</v>
      </c>
      <c r="H261" t="s">
        <v>244</v>
      </c>
      <c r="I261" s="68">
        <f>(I260/(I259*1000))*1000</f>
        <v>-6.2720880022186938</v>
      </c>
      <c r="J261" t="s">
        <v>252</v>
      </c>
    </row>
    <row r="262" spans="2:21" x14ac:dyDescent="0.25">
      <c r="B262" t="s">
        <v>234</v>
      </c>
      <c r="C262" t="s">
        <v>249</v>
      </c>
      <c r="D262">
        <v>364.584</v>
      </c>
      <c r="E262" t="s">
        <v>4</v>
      </c>
    </row>
    <row r="263" spans="2:21" x14ac:dyDescent="0.25">
      <c r="B263" t="s">
        <v>237</v>
      </c>
      <c r="C263" t="s">
        <v>238</v>
      </c>
      <c r="D263">
        <v>9000</v>
      </c>
      <c r="E263" t="s">
        <v>4</v>
      </c>
      <c r="G263" s="101"/>
      <c r="H263" s="101"/>
      <c r="I263" s="101"/>
      <c r="J263" s="101"/>
    </row>
    <row r="264" spans="2:21" ht="15.75" thickBot="1" x14ac:dyDescent="0.3">
      <c r="B264" s="101"/>
      <c r="C264" s="101"/>
      <c r="D264" s="101"/>
      <c r="E264" s="101"/>
      <c r="G264" s="101"/>
      <c r="H264" s="101"/>
      <c r="I264" s="101"/>
      <c r="J264" s="101"/>
    </row>
    <row r="265" spans="2:21" ht="15.75" thickBot="1" x14ac:dyDescent="0.3">
      <c r="B265" s="126" t="s">
        <v>285</v>
      </c>
      <c r="C265" s="126"/>
      <c r="D265" s="126"/>
      <c r="E265" s="126"/>
      <c r="G265" s="126" t="s">
        <v>292</v>
      </c>
      <c r="H265" s="126"/>
      <c r="I265" s="126"/>
      <c r="J265" s="126"/>
      <c r="R265" t="s">
        <v>293</v>
      </c>
      <c r="T265" s="97">
        <f>O57-D54</f>
        <v>0.81489399999999534</v>
      </c>
      <c r="U265" t="s">
        <v>61</v>
      </c>
    </row>
    <row r="266" spans="2:21" ht="15.75" thickBot="1" x14ac:dyDescent="0.3">
      <c r="B266" s="121" t="s">
        <v>290</v>
      </c>
      <c r="C266" s="122"/>
      <c r="D266" s="122"/>
      <c r="E266" s="123"/>
      <c r="G266" s="121" t="s">
        <v>290</v>
      </c>
      <c r="H266" s="122"/>
      <c r="I266" s="122"/>
      <c r="J266" s="123"/>
      <c r="R266" t="s">
        <v>294</v>
      </c>
      <c r="T266" s="97">
        <f>I112-D109</f>
        <v>0.7917940000000101</v>
      </c>
      <c r="U266" t="s">
        <v>61</v>
      </c>
    </row>
    <row r="267" spans="2:21" ht="15.75" thickBot="1" x14ac:dyDescent="0.3">
      <c r="B267" s="14" t="s">
        <v>20</v>
      </c>
      <c r="C267" s="75" t="s">
        <v>21</v>
      </c>
      <c r="D267" s="103">
        <f>D16</f>
        <v>150</v>
      </c>
      <c r="E267" s="17" t="s">
        <v>5</v>
      </c>
      <c r="G267" s="14" t="s">
        <v>20</v>
      </c>
      <c r="H267" s="75" t="s">
        <v>21</v>
      </c>
      <c r="I267" s="103">
        <f>O16</f>
        <v>80</v>
      </c>
      <c r="J267" s="17" t="s">
        <v>5</v>
      </c>
    </row>
    <row r="268" spans="2:21" x14ac:dyDescent="0.25">
      <c r="B268" s="102" t="s">
        <v>62</v>
      </c>
      <c r="C268" s="4" t="s">
        <v>60</v>
      </c>
      <c r="D268" s="107">
        <f>D109</f>
        <v>121.443594</v>
      </c>
      <c r="E268" s="8" t="s">
        <v>61</v>
      </c>
      <c r="G268" s="28" t="s">
        <v>62</v>
      </c>
      <c r="H268" s="29" t="s">
        <v>189</v>
      </c>
      <c r="I268" s="45">
        <f>I109</f>
        <v>121.92388800000002</v>
      </c>
      <c r="J268" s="17" t="s">
        <v>61</v>
      </c>
    </row>
    <row r="269" spans="2:21" ht="17.25" x14ac:dyDescent="0.25">
      <c r="B269" s="6" t="s">
        <v>39</v>
      </c>
      <c r="C269" s="33" t="s">
        <v>161</v>
      </c>
      <c r="D269" s="40">
        <f>D84</f>
        <v>180</v>
      </c>
      <c r="E269" s="8" t="s">
        <v>4</v>
      </c>
      <c r="G269" s="6" t="s">
        <v>39</v>
      </c>
      <c r="H269" s="33" t="s">
        <v>161</v>
      </c>
      <c r="I269" s="40">
        <f>I84</f>
        <v>107.51900000000001</v>
      </c>
      <c r="J269" s="8" t="s">
        <v>4</v>
      </c>
    </row>
    <row r="270" spans="2:21" x14ac:dyDescent="0.25">
      <c r="B270" s="6" t="s">
        <v>72</v>
      </c>
      <c r="C270" s="4" t="s">
        <v>69</v>
      </c>
      <c r="D270" s="107">
        <f>D110</f>
        <v>121.62359400000001</v>
      </c>
      <c r="E270" s="8" t="s">
        <v>61</v>
      </c>
      <c r="G270" s="6" t="s">
        <v>72</v>
      </c>
      <c r="H270" s="4" t="s">
        <v>69</v>
      </c>
      <c r="I270" s="99">
        <f>I110</f>
        <v>122.03140700000002</v>
      </c>
      <c r="J270" s="8" t="s">
        <v>61</v>
      </c>
      <c r="O270" s="68"/>
    </row>
    <row r="271" spans="2:21" x14ac:dyDescent="0.25">
      <c r="B271" s="23" t="s">
        <v>243</v>
      </c>
      <c r="C271" s="10" t="s">
        <v>244</v>
      </c>
      <c r="D271" s="10">
        <v>0</v>
      </c>
      <c r="E271" s="8"/>
      <c r="G271" s="23" t="s">
        <v>243</v>
      </c>
      <c r="H271" s="10" t="s">
        <v>244</v>
      </c>
      <c r="I271" s="10">
        <v>0</v>
      </c>
      <c r="J271" s="8"/>
      <c r="O271" s="68"/>
    </row>
    <row r="272" spans="2:21" ht="15.75" thickBot="1" x14ac:dyDescent="0.3">
      <c r="B272" s="23" t="s">
        <v>243</v>
      </c>
      <c r="C272" s="10" t="s">
        <v>258</v>
      </c>
      <c r="D272" s="104">
        <f>((D267/1000)/D269)*1000</f>
        <v>0.83333333333333326</v>
      </c>
      <c r="E272" s="8" t="s">
        <v>252</v>
      </c>
      <c r="G272" s="23" t="s">
        <v>243</v>
      </c>
      <c r="H272" s="10" t="s">
        <v>258</v>
      </c>
      <c r="I272" s="104">
        <f>((I267/1000)/I269)*1000</f>
        <v>0.74405453919772324</v>
      </c>
      <c r="J272" s="8" t="s">
        <v>252</v>
      </c>
      <c r="M272" t="s">
        <v>75</v>
      </c>
      <c r="O272" s="68"/>
      <c r="R272" t="s">
        <v>75</v>
      </c>
      <c r="T272" s="68"/>
    </row>
    <row r="273" spans="2:21" ht="15.75" thickBot="1" x14ac:dyDescent="0.3">
      <c r="B273" s="6" t="s">
        <v>286</v>
      </c>
      <c r="C273" s="10" t="s">
        <v>287</v>
      </c>
      <c r="D273" s="10">
        <f>O161</f>
        <v>149.57166666666666</v>
      </c>
      <c r="E273" s="8" t="s">
        <v>3</v>
      </c>
      <c r="G273" s="6" t="s">
        <v>286</v>
      </c>
      <c r="H273" s="10" t="s">
        <v>287</v>
      </c>
      <c r="I273" s="10">
        <f>O161</f>
        <v>149.57166666666666</v>
      </c>
      <c r="J273" s="8" t="s">
        <v>3</v>
      </c>
      <c r="M273" t="s">
        <v>295</v>
      </c>
      <c r="O273" s="68">
        <f>D257</f>
        <v>121.3</v>
      </c>
      <c r="P273" s="17" t="s">
        <v>61</v>
      </c>
      <c r="R273" t="s">
        <v>331</v>
      </c>
      <c r="T273" s="68">
        <f>O273</f>
        <v>121.3</v>
      </c>
    </row>
    <row r="274" spans="2:21" ht="15.75" thickBot="1" x14ac:dyDescent="0.3">
      <c r="B274" s="6" t="s">
        <v>288</v>
      </c>
      <c r="C274" s="10" t="s">
        <v>238</v>
      </c>
      <c r="D274" s="105">
        <v>11500</v>
      </c>
      <c r="E274" s="8" t="s">
        <v>4</v>
      </c>
      <c r="G274" s="6" t="s">
        <v>288</v>
      </c>
      <c r="H274" s="10" t="s">
        <v>238</v>
      </c>
      <c r="I274" s="105">
        <v>11500</v>
      </c>
      <c r="J274" s="8" t="s">
        <v>4</v>
      </c>
      <c r="M274" t="s">
        <v>296</v>
      </c>
      <c r="O274" s="97">
        <f>D261</f>
        <v>121.382907</v>
      </c>
      <c r="P274" s="17" t="s">
        <v>61</v>
      </c>
      <c r="R274" t="s">
        <v>296</v>
      </c>
      <c r="T274" s="97">
        <f>O274</f>
        <v>121.382907</v>
      </c>
    </row>
    <row r="275" spans="2:21" ht="15.75" thickBot="1" x14ac:dyDescent="0.3">
      <c r="B275" s="6" t="s">
        <v>277</v>
      </c>
      <c r="C275" s="10" t="s">
        <v>280</v>
      </c>
      <c r="D275" s="10">
        <f>0.5*D273^2</f>
        <v>11185.84173472222</v>
      </c>
      <c r="E275" s="8"/>
      <c r="G275" s="6" t="s">
        <v>277</v>
      </c>
      <c r="H275" s="10" t="s">
        <v>280</v>
      </c>
      <c r="I275" s="10">
        <f>0.5*I273^2</f>
        <v>11185.84173472222</v>
      </c>
      <c r="J275" s="8"/>
      <c r="M275" t="s">
        <v>297</v>
      </c>
      <c r="O275">
        <f>D54</f>
        <v>121.444755</v>
      </c>
      <c r="P275" s="17" t="s">
        <v>61</v>
      </c>
      <c r="R275" s="102" t="s">
        <v>62</v>
      </c>
      <c r="S275" s="4" t="s">
        <v>60</v>
      </c>
      <c r="T275" s="107">
        <f>D268</f>
        <v>121.443594</v>
      </c>
      <c r="U275" s="8" t="s">
        <v>61</v>
      </c>
    </row>
    <row r="276" spans="2:21" ht="15.75" thickBot="1" x14ac:dyDescent="0.3">
      <c r="B276" s="6"/>
      <c r="C276" s="10"/>
      <c r="D276" s="9" t="str">
        <f>IF(D274&gt;D275,"vyhovuje","nevyhovuje")</f>
        <v>vyhovuje</v>
      </c>
      <c r="E276" s="43"/>
      <c r="G276" s="6"/>
      <c r="H276" s="10"/>
      <c r="I276" s="9" t="str">
        <f>IF(I274&gt;I275,"vyhovuje","nevyhovuje")</f>
        <v>vyhovuje</v>
      </c>
      <c r="J276" s="43"/>
      <c r="M276" t="s">
        <v>298</v>
      </c>
      <c r="O276">
        <f t="shared" ref="O276:O278" si="0">D55</f>
        <v>121.625057</v>
      </c>
      <c r="P276" s="17" t="s">
        <v>61</v>
      </c>
      <c r="R276" s="6" t="s">
        <v>72</v>
      </c>
      <c r="S276" s="4" t="s">
        <v>69</v>
      </c>
      <c r="T276" s="107">
        <f>D270</f>
        <v>121.62359400000001</v>
      </c>
      <c r="U276" s="8" t="s">
        <v>61</v>
      </c>
    </row>
    <row r="277" spans="2:21" ht="15.75" thickBot="1" x14ac:dyDescent="0.3">
      <c r="B277" s="6" t="s">
        <v>266</v>
      </c>
      <c r="C277" s="10" t="s">
        <v>265</v>
      </c>
      <c r="D277" s="104">
        <f>(D274*0.5)*(D272/1000)</f>
        <v>4.7916666666666661</v>
      </c>
      <c r="E277" s="8" t="s">
        <v>4</v>
      </c>
      <c r="G277" s="6" t="s">
        <v>266</v>
      </c>
      <c r="H277" s="10" t="s">
        <v>265</v>
      </c>
      <c r="I277" s="104">
        <f>(I274*0.5)*(I272/1000)</f>
        <v>4.2783136003869089</v>
      </c>
      <c r="J277" s="8" t="s">
        <v>4</v>
      </c>
      <c r="M277" t="s">
        <v>299</v>
      </c>
      <c r="O277">
        <f t="shared" si="0"/>
        <v>121.73405199999999</v>
      </c>
      <c r="P277" s="17" t="s">
        <v>61</v>
      </c>
      <c r="R277" s="48" t="s">
        <v>300</v>
      </c>
      <c r="S277" t="s">
        <v>240</v>
      </c>
      <c r="T277" s="97">
        <f>D302</f>
        <v>121.67319867520678</v>
      </c>
      <c r="U277" s="8" t="s">
        <v>61</v>
      </c>
    </row>
    <row r="278" spans="2:21" ht="15.75" thickBot="1" x14ac:dyDescent="0.3">
      <c r="B278" s="6" t="s">
        <v>270</v>
      </c>
      <c r="C278" s="10" t="s">
        <v>269</v>
      </c>
      <c r="D278" s="110">
        <f>D277^2/(2*D274)</f>
        <v>9.9826388888888859E-4</v>
      </c>
      <c r="E278" s="8" t="s">
        <v>4</v>
      </c>
      <c r="G278" s="6" t="s">
        <v>270</v>
      </c>
      <c r="H278" s="10" t="s">
        <v>269</v>
      </c>
      <c r="I278" s="110">
        <f>I277^2/(2*I274)</f>
        <v>7.958246636198084E-4</v>
      </c>
      <c r="J278" s="8" t="s">
        <v>4</v>
      </c>
      <c r="M278" t="s">
        <v>71</v>
      </c>
      <c r="O278">
        <f t="shared" si="0"/>
        <v>121.91435399999999</v>
      </c>
      <c r="P278" s="17" t="s">
        <v>61</v>
      </c>
      <c r="R278" s="6" t="s">
        <v>73</v>
      </c>
      <c r="S278" s="4" t="s">
        <v>70</v>
      </c>
      <c r="T278" s="99">
        <f>D284</f>
        <v>121.72229000000002</v>
      </c>
      <c r="U278" s="8" t="s">
        <v>61</v>
      </c>
    </row>
    <row r="279" spans="2:21" ht="15.75" thickBot="1" x14ac:dyDescent="0.3">
      <c r="B279" s="124" t="s">
        <v>289</v>
      </c>
      <c r="C279" s="10"/>
      <c r="D279" s="108">
        <f>D268-D277/1000</f>
        <v>121.43880233333334</v>
      </c>
      <c r="E279" s="90" t="s">
        <v>61</v>
      </c>
      <c r="G279" s="124" t="s">
        <v>289</v>
      </c>
      <c r="H279" s="10"/>
      <c r="I279" s="108" t="s">
        <v>76</v>
      </c>
      <c r="J279" s="90" t="s">
        <v>61</v>
      </c>
      <c r="M279" t="s">
        <v>302</v>
      </c>
      <c r="O279">
        <v>121.933831</v>
      </c>
      <c r="P279" s="17" t="s">
        <v>61</v>
      </c>
      <c r="R279" s="11" t="s">
        <v>74</v>
      </c>
      <c r="S279" s="24" t="s">
        <v>188</v>
      </c>
      <c r="T279" s="100">
        <f>D286</f>
        <v>121.92388800000002</v>
      </c>
      <c r="U279" s="13" t="s">
        <v>61</v>
      </c>
    </row>
    <row r="280" spans="2:21" ht="15.75" thickBot="1" x14ac:dyDescent="0.3">
      <c r="B280" s="125"/>
      <c r="C280" s="12"/>
      <c r="D280" s="109">
        <f>D270+D277/1000</f>
        <v>121.62838566666667</v>
      </c>
      <c r="E280" s="42" t="s">
        <v>61</v>
      </c>
      <c r="G280" s="125"/>
      <c r="H280" s="12"/>
      <c r="I280" s="109">
        <f>I270+I277/1000</f>
        <v>122.0356853136004</v>
      </c>
      <c r="J280" s="42" t="s">
        <v>61</v>
      </c>
      <c r="M280" s="28" t="s">
        <v>62</v>
      </c>
      <c r="N280" s="29" t="s">
        <v>102</v>
      </c>
      <c r="O280" s="22">
        <v>121.953907</v>
      </c>
      <c r="P280" s="17" t="s">
        <v>61</v>
      </c>
      <c r="R280" s="28" t="s">
        <v>62</v>
      </c>
      <c r="S280" s="29" t="s">
        <v>189</v>
      </c>
      <c r="T280" s="45">
        <f>I268</f>
        <v>121.92388800000002</v>
      </c>
      <c r="U280" s="17" t="s">
        <v>61</v>
      </c>
    </row>
    <row r="281" spans="2:21" ht="15.75" thickBot="1" x14ac:dyDescent="0.3">
      <c r="M281" s="6" t="s">
        <v>72</v>
      </c>
      <c r="N281" s="4" t="s">
        <v>69</v>
      </c>
      <c r="O281" s="9">
        <f>O55</f>
        <v>122.04992</v>
      </c>
      <c r="P281" s="8" t="s">
        <v>61</v>
      </c>
      <c r="R281" s="48" t="s">
        <v>326</v>
      </c>
      <c r="T281" s="97">
        <f>D314</f>
        <v>121.93433500000003</v>
      </c>
      <c r="U281" s="90" t="s">
        <v>61</v>
      </c>
    </row>
    <row r="282" spans="2:21" ht="15.75" thickBot="1" x14ac:dyDescent="0.3">
      <c r="B282" s="121" t="s">
        <v>291</v>
      </c>
      <c r="C282" s="122"/>
      <c r="D282" s="122"/>
      <c r="E282" s="123"/>
      <c r="G282" s="121" t="s">
        <v>291</v>
      </c>
      <c r="H282" s="122"/>
      <c r="I282" s="122"/>
      <c r="J282" s="123"/>
      <c r="M282" t="s">
        <v>300</v>
      </c>
      <c r="N282" t="s">
        <v>240</v>
      </c>
      <c r="O282" s="97">
        <v>122.102907</v>
      </c>
      <c r="P282" t="s">
        <v>61</v>
      </c>
      <c r="R282" s="6" t="s">
        <v>72</v>
      </c>
      <c r="S282" s="4" t="s">
        <v>69</v>
      </c>
      <c r="T282" s="99">
        <f>I270</f>
        <v>122.03140700000002</v>
      </c>
      <c r="U282" s="8" t="s">
        <v>61</v>
      </c>
    </row>
    <row r="283" spans="2:21" x14ac:dyDescent="0.25">
      <c r="B283" s="14" t="s">
        <v>20</v>
      </c>
      <c r="C283" s="75" t="s">
        <v>21</v>
      </c>
      <c r="D283" s="103">
        <f>D267</f>
        <v>150</v>
      </c>
      <c r="E283" s="17" t="s">
        <v>5</v>
      </c>
      <c r="G283" s="14" t="s">
        <v>20</v>
      </c>
      <c r="H283" s="75" t="s">
        <v>21</v>
      </c>
      <c r="I283" s="103">
        <f>I267</f>
        <v>80</v>
      </c>
      <c r="J283" s="17" t="s">
        <v>5</v>
      </c>
      <c r="M283" s="6" t="s">
        <v>73</v>
      </c>
      <c r="N283" s="4" t="s">
        <v>70</v>
      </c>
      <c r="O283" s="30">
        <f>O56</f>
        <v>122.163636</v>
      </c>
      <c r="P283" s="8" t="s">
        <v>61</v>
      </c>
      <c r="R283" s="23" t="s">
        <v>301</v>
      </c>
      <c r="S283" s="4" t="s">
        <v>325</v>
      </c>
      <c r="T283" s="97">
        <f>I302</f>
        <v>122.08514082346687</v>
      </c>
      <c r="U283" s="48" t="s">
        <v>61</v>
      </c>
    </row>
    <row r="284" spans="2:21" ht="15.75" thickBot="1" x14ac:dyDescent="0.3">
      <c r="B284" s="6" t="s">
        <v>73</v>
      </c>
      <c r="C284" s="4" t="s">
        <v>70</v>
      </c>
      <c r="D284" s="99">
        <f>D111</f>
        <v>121.72229000000002</v>
      </c>
      <c r="E284" s="8" t="s">
        <v>61</v>
      </c>
      <c r="G284" s="6" t="s">
        <v>73</v>
      </c>
      <c r="H284" s="4" t="s">
        <v>70</v>
      </c>
      <c r="I284" s="99">
        <f>I111</f>
        <v>122.13938800000001</v>
      </c>
      <c r="J284" s="8" t="s">
        <v>61</v>
      </c>
      <c r="M284" s="11" t="s">
        <v>74</v>
      </c>
      <c r="N284" s="24" t="s">
        <v>103</v>
      </c>
      <c r="O284" s="30">
        <f>O57</f>
        <v>122.259649</v>
      </c>
      <c r="P284" s="13" t="s">
        <v>61</v>
      </c>
      <c r="R284" s="6" t="s">
        <v>73</v>
      </c>
      <c r="S284" s="4" t="s">
        <v>70</v>
      </c>
      <c r="T284" s="99">
        <f>I111</f>
        <v>122.13938800000001</v>
      </c>
      <c r="U284" s="8" t="s">
        <v>61</v>
      </c>
    </row>
    <row r="285" spans="2:21" ht="18" thickBot="1" x14ac:dyDescent="0.3">
      <c r="B285" s="6" t="s">
        <v>39</v>
      </c>
      <c r="C285" s="33" t="s">
        <v>161</v>
      </c>
      <c r="D285" s="40">
        <f>D93</f>
        <v>201.59800000000001</v>
      </c>
      <c r="E285" s="8" t="s">
        <v>4</v>
      </c>
      <c r="G285" s="6" t="s">
        <v>39</v>
      </c>
      <c r="H285" s="33" t="s">
        <v>161</v>
      </c>
      <c r="I285" s="40">
        <f>I93</f>
        <v>96</v>
      </c>
      <c r="J285" s="8" t="s">
        <v>4</v>
      </c>
      <c r="M285" t="s">
        <v>301</v>
      </c>
      <c r="N285" t="s">
        <v>242</v>
      </c>
      <c r="O285" s="97">
        <v>122.40475499999999</v>
      </c>
      <c r="P285" t="s">
        <v>61</v>
      </c>
      <c r="R285" s="11" t="s">
        <v>74</v>
      </c>
      <c r="S285" s="24" t="s">
        <v>103</v>
      </c>
      <c r="T285" s="100">
        <f>I112</f>
        <v>122.23538800000001</v>
      </c>
      <c r="U285" s="13" t="s">
        <v>61</v>
      </c>
    </row>
    <row r="286" spans="2:21" ht="15.75" thickBot="1" x14ac:dyDescent="0.3">
      <c r="B286" s="11" t="s">
        <v>74</v>
      </c>
      <c r="C286" s="24" t="s">
        <v>188</v>
      </c>
      <c r="D286" s="100">
        <f>D112</f>
        <v>121.92388800000002</v>
      </c>
      <c r="E286" s="13" t="s">
        <v>61</v>
      </c>
      <c r="G286" s="11" t="s">
        <v>74</v>
      </c>
      <c r="H286" s="24" t="s">
        <v>188</v>
      </c>
      <c r="I286" s="100">
        <f>I112</f>
        <v>122.23538800000001</v>
      </c>
      <c r="J286" s="13" t="s">
        <v>61</v>
      </c>
      <c r="R286" s="48" t="s">
        <v>327</v>
      </c>
      <c r="S286" s="4" t="s">
        <v>242</v>
      </c>
      <c r="T286" s="97">
        <f>O310</f>
        <v>122.40161634502573</v>
      </c>
      <c r="U286" s="48" t="s">
        <v>61</v>
      </c>
    </row>
    <row r="287" spans="2:21" x14ac:dyDescent="0.25">
      <c r="B287" s="23" t="s">
        <v>243</v>
      </c>
      <c r="C287" s="10" t="s">
        <v>244</v>
      </c>
      <c r="D287" s="10">
        <v>0</v>
      </c>
      <c r="E287" s="8"/>
      <c r="G287" s="23" t="s">
        <v>243</v>
      </c>
      <c r="H287" s="10" t="s">
        <v>244</v>
      </c>
      <c r="I287" s="10">
        <v>0</v>
      </c>
      <c r="J287" s="8"/>
    </row>
    <row r="288" spans="2:21" x14ac:dyDescent="0.25">
      <c r="B288" s="23" t="s">
        <v>243</v>
      </c>
      <c r="C288" s="10" t="s">
        <v>258</v>
      </c>
      <c r="D288" s="104">
        <f>((D283/1000)/D285)*1000</f>
        <v>0.74405500054564022</v>
      </c>
      <c r="E288" s="8" t="s">
        <v>252</v>
      </c>
      <c r="G288" s="23" t="s">
        <v>243</v>
      </c>
      <c r="H288" s="10" t="s">
        <v>258</v>
      </c>
      <c r="I288" s="104">
        <f>((I283/1000)/I285)*1000</f>
        <v>0.83333333333333337</v>
      </c>
      <c r="J288" s="8" t="s">
        <v>252</v>
      </c>
    </row>
    <row r="289" spans="2:21" x14ac:dyDescent="0.25">
      <c r="B289" s="6" t="s">
        <v>286</v>
      </c>
      <c r="C289" s="10" t="s">
        <v>287</v>
      </c>
      <c r="D289" s="10">
        <f>D273</f>
        <v>149.57166666666666</v>
      </c>
      <c r="E289" s="8" t="s">
        <v>3</v>
      </c>
      <c r="G289" s="6" t="s">
        <v>286</v>
      </c>
      <c r="H289" s="10" t="s">
        <v>287</v>
      </c>
      <c r="I289" s="10">
        <f>I273</f>
        <v>149.57166666666666</v>
      </c>
      <c r="J289" s="8" t="s">
        <v>3</v>
      </c>
    </row>
    <row r="290" spans="2:21" x14ac:dyDescent="0.25">
      <c r="B290" s="6" t="s">
        <v>288</v>
      </c>
      <c r="C290" s="10" t="s">
        <v>238</v>
      </c>
      <c r="D290" s="105">
        <v>11500</v>
      </c>
      <c r="E290" s="8" t="s">
        <v>4</v>
      </c>
      <c r="G290" s="6" t="s">
        <v>288</v>
      </c>
      <c r="H290" s="10" t="s">
        <v>238</v>
      </c>
      <c r="I290" s="105">
        <v>11500</v>
      </c>
      <c r="J290" s="8" t="s">
        <v>4</v>
      </c>
    </row>
    <row r="291" spans="2:21" x14ac:dyDescent="0.25">
      <c r="B291" s="6" t="s">
        <v>277</v>
      </c>
      <c r="C291" s="10" t="s">
        <v>280</v>
      </c>
      <c r="D291" s="10">
        <f>0.5*D289^2</f>
        <v>11185.84173472222</v>
      </c>
      <c r="E291" s="8"/>
      <c r="G291" s="6" t="s">
        <v>277</v>
      </c>
      <c r="H291" s="10" t="s">
        <v>280</v>
      </c>
      <c r="I291" s="10">
        <f>0.5*I289^2</f>
        <v>11185.84173472222</v>
      </c>
      <c r="J291" s="8"/>
    </row>
    <row r="292" spans="2:21" x14ac:dyDescent="0.25">
      <c r="B292" s="6"/>
      <c r="C292" s="10"/>
      <c r="D292" s="9" t="str">
        <f>IF(D290&gt;D291,"vyhovuje","nevyhovuje")</f>
        <v>vyhovuje</v>
      </c>
      <c r="E292" s="43"/>
      <c r="G292" s="6"/>
      <c r="H292" s="10"/>
      <c r="I292" s="9" t="str">
        <f>IF(I290&gt;I291,"vyhovuje","nevyhovuje")</f>
        <v>vyhovuje</v>
      </c>
      <c r="J292" s="43"/>
    </row>
    <row r="293" spans="2:21" x14ac:dyDescent="0.25">
      <c r="B293" s="6" t="s">
        <v>266</v>
      </c>
      <c r="C293" s="10" t="s">
        <v>265</v>
      </c>
      <c r="D293" s="104">
        <f>(D290*0.5)*(D288/1000)</f>
        <v>4.2783162531374312</v>
      </c>
      <c r="E293" s="8" t="s">
        <v>4</v>
      </c>
      <c r="G293" s="6" t="s">
        <v>266</v>
      </c>
      <c r="H293" s="10" t="s">
        <v>265</v>
      </c>
      <c r="I293" s="104">
        <f>(I290*0.5)*(I288/1000)</f>
        <v>4.791666666666667</v>
      </c>
      <c r="J293" s="8" t="s">
        <v>4</v>
      </c>
    </row>
    <row r="294" spans="2:21" x14ac:dyDescent="0.25">
      <c r="B294" s="6" t="s">
        <v>270</v>
      </c>
      <c r="C294" s="10" t="s">
        <v>269</v>
      </c>
      <c r="D294" s="110">
        <f>D293^2/(2*D290)</f>
        <v>7.9582565051564819E-4</v>
      </c>
      <c r="E294" s="8" t="s">
        <v>4</v>
      </c>
      <c r="G294" s="6" t="s">
        <v>270</v>
      </c>
      <c r="H294" s="10" t="s">
        <v>269</v>
      </c>
      <c r="I294" s="110">
        <f>I293^2/(2*I290)</f>
        <v>9.9826388888888903E-4</v>
      </c>
      <c r="J294" s="8" t="s">
        <v>4</v>
      </c>
    </row>
    <row r="295" spans="2:21" x14ac:dyDescent="0.25">
      <c r="B295" s="124" t="s">
        <v>289</v>
      </c>
      <c r="C295" s="10"/>
      <c r="D295" s="111">
        <f>D284-D293/1000</f>
        <v>121.71801168374688</v>
      </c>
      <c r="E295" s="90" t="s">
        <v>61</v>
      </c>
      <c r="G295" s="124" t="s">
        <v>289</v>
      </c>
      <c r="H295" s="10"/>
      <c r="I295" s="111">
        <f>I284-I293/1000</f>
        <v>122.13459633333335</v>
      </c>
      <c r="J295" s="90" t="s">
        <v>61</v>
      </c>
    </row>
    <row r="296" spans="2:21" ht="15.75" thickBot="1" x14ac:dyDescent="0.3">
      <c r="B296" s="125"/>
      <c r="C296" s="12"/>
      <c r="D296" s="109" t="s">
        <v>76</v>
      </c>
      <c r="E296" s="42" t="s">
        <v>61</v>
      </c>
      <c r="G296" s="125"/>
      <c r="H296" s="12"/>
      <c r="I296" s="109">
        <f>I286+I293/1000</f>
        <v>122.24017966666668</v>
      </c>
      <c r="J296" s="42" t="s">
        <v>61</v>
      </c>
    </row>
    <row r="297" spans="2:21" ht="15.75" thickBot="1" x14ac:dyDescent="0.3"/>
    <row r="298" spans="2:21" ht="15.75" thickBot="1" x14ac:dyDescent="0.3">
      <c r="B298" s="121" t="s">
        <v>303</v>
      </c>
      <c r="C298" s="122"/>
      <c r="D298" s="122"/>
      <c r="E298" s="123"/>
      <c r="G298" s="121" t="s">
        <v>311</v>
      </c>
      <c r="H298" s="122"/>
      <c r="I298" s="122"/>
      <c r="J298" s="123"/>
      <c r="R298" s="121" t="s">
        <v>263</v>
      </c>
      <c r="S298" s="122"/>
      <c r="T298" s="122"/>
      <c r="U298" s="123"/>
    </row>
    <row r="299" spans="2:21" ht="15.75" thickBot="1" x14ac:dyDescent="0.3">
      <c r="B299" s="174" t="s">
        <v>304</v>
      </c>
      <c r="C299" s="51"/>
      <c r="D299" s="112">
        <f>D280</f>
        <v>121.62838566666667</v>
      </c>
      <c r="E299" s="51"/>
      <c r="G299" s="175" t="s">
        <v>304</v>
      </c>
      <c r="I299" s="97">
        <f>I280</f>
        <v>122.0356853136004</v>
      </c>
      <c r="R299" s="121" t="s">
        <v>264</v>
      </c>
      <c r="S299" s="122"/>
      <c r="T299" s="122"/>
      <c r="U299" s="123"/>
    </row>
    <row r="300" spans="2:21" x14ac:dyDescent="0.25">
      <c r="B300" s="165"/>
      <c r="C300" s="51"/>
      <c r="D300" s="112">
        <f>D295</f>
        <v>121.71801168374688</v>
      </c>
      <c r="E300" s="51"/>
      <c r="G300" s="176"/>
      <c r="I300" s="97">
        <f>I295</f>
        <v>122.13459633333335</v>
      </c>
      <c r="R300" t="s">
        <v>267</v>
      </c>
      <c r="S300" t="s">
        <v>268</v>
      </c>
      <c r="T300" s="68">
        <f>ABS(I261-D306)</f>
        <v>0.90689843793869684</v>
      </c>
      <c r="U300" t="s">
        <v>252</v>
      </c>
    </row>
    <row r="301" spans="2:21" x14ac:dyDescent="0.25">
      <c r="B301" s="51" t="s">
        <v>305</v>
      </c>
      <c r="C301" s="51"/>
      <c r="D301" s="112">
        <f>D300-D299</f>
        <v>8.9626017080206566E-2</v>
      </c>
      <c r="E301" s="51"/>
      <c r="G301" s="51" t="s">
        <v>305</v>
      </c>
      <c r="H301" s="51"/>
      <c r="I301" s="112">
        <f>I300-I299</f>
        <v>9.8911019732952354E-2</v>
      </c>
      <c r="J301" s="51"/>
      <c r="M301" t="s">
        <v>312</v>
      </c>
      <c r="O301" s="68">
        <f>O49</f>
        <v>153.126</v>
      </c>
      <c r="P301" t="s">
        <v>4</v>
      </c>
      <c r="R301" t="s">
        <v>266</v>
      </c>
      <c r="S301" t="s">
        <v>265</v>
      </c>
      <c r="T301" s="68">
        <f>(D263*0.5)*(T300/1000)</f>
        <v>4.0810429707241358</v>
      </c>
      <c r="U301" t="s">
        <v>4</v>
      </c>
    </row>
    <row r="302" spans="2:21" ht="15" customHeight="1" thickBot="1" x14ac:dyDescent="0.3">
      <c r="B302" t="s">
        <v>75</v>
      </c>
      <c r="C302" t="s">
        <v>240</v>
      </c>
      <c r="D302" s="106">
        <f>D299+D301*0.5</f>
        <v>121.67319867520678</v>
      </c>
      <c r="E302" t="s">
        <v>61</v>
      </c>
      <c r="G302" t="s">
        <v>75</v>
      </c>
      <c r="H302" t="s">
        <v>240</v>
      </c>
      <c r="I302" s="106">
        <f>I299+I301*0.5</f>
        <v>122.08514082346687</v>
      </c>
      <c r="J302" t="s">
        <v>61</v>
      </c>
      <c r="M302" s="11" t="s">
        <v>74</v>
      </c>
      <c r="N302" s="24" t="s">
        <v>103</v>
      </c>
      <c r="O302" s="31">
        <f>O284</f>
        <v>122.259649</v>
      </c>
      <c r="P302" s="13" t="s">
        <v>61</v>
      </c>
      <c r="R302" t="s">
        <v>270</v>
      </c>
      <c r="S302" t="s">
        <v>269</v>
      </c>
      <c r="T302" s="96">
        <f>T301^2/(2*D263)</f>
        <v>9.2527287382760445E-4</v>
      </c>
      <c r="U302" t="s">
        <v>4</v>
      </c>
    </row>
    <row r="303" spans="2:21" ht="15.75" customHeight="1" x14ac:dyDescent="0.25">
      <c r="B303" s="113" t="s">
        <v>307</v>
      </c>
      <c r="D303" s="115">
        <f>(D302-D261)*1000</f>
        <v>290.2916752067739</v>
      </c>
      <c r="E303" t="s">
        <v>4</v>
      </c>
      <c r="G303" t="s">
        <v>319</v>
      </c>
      <c r="I303" s="68">
        <f>(I302-D302)*1000</f>
        <v>411.94214826009556</v>
      </c>
      <c r="J303" t="s">
        <v>4</v>
      </c>
      <c r="M303" t="s">
        <v>314</v>
      </c>
      <c r="O303">
        <f>(D66^2-D64^2)^0.5</f>
        <v>24.327345025711292</v>
      </c>
      <c r="P303" t="s">
        <v>4</v>
      </c>
      <c r="S303" t="s">
        <v>271</v>
      </c>
      <c r="T303" s="68">
        <f>ABS((D263*I261)/1000)</f>
        <v>56.448792019968238</v>
      </c>
      <c r="U303" t="s">
        <v>4</v>
      </c>
    </row>
    <row r="304" spans="2:21" x14ac:dyDescent="0.25">
      <c r="B304" t="s">
        <v>234</v>
      </c>
      <c r="C304" t="s">
        <v>249</v>
      </c>
      <c r="D304" s="68">
        <v>362.5</v>
      </c>
      <c r="E304" t="s">
        <v>4</v>
      </c>
      <c r="G304" t="s">
        <v>329</v>
      </c>
      <c r="I304" s="68">
        <f>(I302-D314)*1000</f>
        <v>150.80582346683968</v>
      </c>
      <c r="J304" t="s">
        <v>4</v>
      </c>
      <c r="M304" t="s">
        <v>315</v>
      </c>
      <c r="O304" s="68">
        <f>(D250-O302)*1000</f>
        <v>142.36700000000724</v>
      </c>
      <c r="P304" t="s">
        <v>4</v>
      </c>
      <c r="S304" t="s">
        <v>272</v>
      </c>
      <c r="T304" s="68" t="e">
        <f>ABS((#REF!*#REF!)/1000)</f>
        <v>#REF!</v>
      </c>
      <c r="U304" t="s">
        <v>4</v>
      </c>
    </row>
    <row r="305" spans="2:21" x14ac:dyDescent="0.25">
      <c r="B305" t="s">
        <v>246</v>
      </c>
      <c r="C305" t="s">
        <v>257</v>
      </c>
      <c r="D305" s="68">
        <f>D304-D262</f>
        <v>-2.0840000000000032</v>
      </c>
      <c r="E305" t="s">
        <v>4</v>
      </c>
      <c r="G305" t="s">
        <v>306</v>
      </c>
      <c r="H305" t="s">
        <v>262</v>
      </c>
      <c r="I305" s="68">
        <f>D317</f>
        <v>-2.1911656537493149</v>
      </c>
      <c r="J305" t="s">
        <v>252</v>
      </c>
      <c r="M305" t="s">
        <v>316</v>
      </c>
      <c r="O305" s="68">
        <f>O301+O303+O304</f>
        <v>319.82034502571855</v>
      </c>
      <c r="P305" t="s">
        <v>4</v>
      </c>
      <c r="R305" t="s">
        <v>273</v>
      </c>
      <c r="S305" t="s">
        <v>274</v>
      </c>
      <c r="T305" s="68">
        <f>2*T301</f>
        <v>8.1620859414482716</v>
      </c>
      <c r="U305" t="s">
        <v>4</v>
      </c>
    </row>
    <row r="306" spans="2:21" x14ac:dyDescent="0.25">
      <c r="B306" s="113" t="s">
        <v>306</v>
      </c>
      <c r="C306" t="s">
        <v>258</v>
      </c>
      <c r="D306" s="68">
        <f>(D305/D303)*1000</f>
        <v>-7.1789864401573906</v>
      </c>
      <c r="E306" t="s">
        <v>252</v>
      </c>
      <c r="G306" t="s">
        <v>234</v>
      </c>
      <c r="H306" t="s">
        <v>251</v>
      </c>
      <c r="I306" s="68">
        <f>D304+(I305*I303)/1000</f>
        <v>361.59736651340074</v>
      </c>
      <c r="J306" t="s">
        <v>4</v>
      </c>
      <c r="M306" t="s">
        <v>313</v>
      </c>
      <c r="O306">
        <f>I104</f>
        <v>153.59200000000001</v>
      </c>
      <c r="P306" t="s">
        <v>4</v>
      </c>
      <c r="R306" t="s">
        <v>276</v>
      </c>
      <c r="S306" t="s">
        <v>275</v>
      </c>
      <c r="T306" s="68" t="e">
        <f>T303-T304</f>
        <v>#REF!</v>
      </c>
      <c r="U306" t="s">
        <v>4</v>
      </c>
    </row>
    <row r="307" spans="2:21" ht="15.75" thickBot="1" x14ac:dyDescent="0.3">
      <c r="B307" t="s">
        <v>237</v>
      </c>
      <c r="C307" t="s">
        <v>238</v>
      </c>
      <c r="D307">
        <v>8900</v>
      </c>
      <c r="E307" t="s">
        <v>4</v>
      </c>
      <c r="I307" s="68">
        <f>D310+(I305*I304)/1000</f>
        <v>361.59736651340074</v>
      </c>
      <c r="J307" t="s">
        <v>4</v>
      </c>
      <c r="M307" s="11" t="s">
        <v>74</v>
      </c>
      <c r="N307" s="24" t="s">
        <v>103</v>
      </c>
      <c r="O307" s="100">
        <f>T285</f>
        <v>122.23538800000001</v>
      </c>
      <c r="P307" s="13" t="s">
        <v>61</v>
      </c>
    </row>
    <row r="308" spans="2:21" ht="15.75" thickBot="1" x14ac:dyDescent="0.3">
      <c r="B308" s="171" t="s">
        <v>308</v>
      </c>
      <c r="C308" s="172"/>
      <c r="D308" s="172"/>
      <c r="E308" s="173"/>
      <c r="G308" s="171" t="s">
        <v>321</v>
      </c>
      <c r="H308" s="172"/>
      <c r="I308" s="172"/>
      <c r="J308" s="173"/>
      <c r="M308" s="48" t="s">
        <v>330</v>
      </c>
      <c r="O308" s="68">
        <f>O303+O301+O304-O306</f>
        <v>166.22834502571854</v>
      </c>
      <c r="P308" s="48" t="s">
        <v>4</v>
      </c>
      <c r="Q308" s="68"/>
    </row>
    <row r="309" spans="2:21" x14ac:dyDescent="0.25">
      <c r="B309" t="s">
        <v>310</v>
      </c>
      <c r="D309" s="114">
        <f>0.2</f>
        <v>0.2</v>
      </c>
      <c r="E309" t="s">
        <v>4</v>
      </c>
      <c r="G309" t="s">
        <v>75</v>
      </c>
      <c r="H309" t="s">
        <v>242</v>
      </c>
      <c r="I309" s="97">
        <f>O310</f>
        <v>122.40161634502573</v>
      </c>
      <c r="J309" t="s">
        <v>61</v>
      </c>
      <c r="M309" t="s">
        <v>316</v>
      </c>
      <c r="O309" s="68">
        <f>O308+O306</f>
        <v>319.82034502571855</v>
      </c>
      <c r="P309" s="48" t="s">
        <v>4</v>
      </c>
    </row>
    <row r="310" spans="2:21" x14ac:dyDescent="0.25">
      <c r="B310" t="s">
        <v>234</v>
      </c>
      <c r="D310" s="68">
        <f>D241-D309</f>
        <v>361.92780705416669</v>
      </c>
      <c r="E310" t="s">
        <v>4</v>
      </c>
      <c r="G310" t="s">
        <v>328</v>
      </c>
      <c r="I310" s="97">
        <f>(I309-I302)*1000</f>
        <v>316.47552155885705</v>
      </c>
      <c r="J310" t="s">
        <v>4</v>
      </c>
      <c r="M310" t="s">
        <v>242</v>
      </c>
      <c r="O310">
        <f>O307+O308/1000</f>
        <v>122.40161634502573</v>
      </c>
      <c r="P310" s="48" t="s">
        <v>4</v>
      </c>
    </row>
    <row r="311" spans="2:21" ht="17.25" x14ac:dyDescent="0.25">
      <c r="B311" s="23" t="s">
        <v>50</v>
      </c>
      <c r="C311" s="94" t="s">
        <v>139</v>
      </c>
      <c r="D311" s="59">
        <f>D104</f>
        <v>246.857</v>
      </c>
      <c r="E311" s="8" t="s">
        <v>4</v>
      </c>
      <c r="G311" t="s">
        <v>234</v>
      </c>
      <c r="H311" t="s">
        <v>324</v>
      </c>
      <c r="I311">
        <v>359.96199999999999</v>
      </c>
      <c r="J311" t="s">
        <v>4</v>
      </c>
    </row>
    <row r="312" spans="2:21" x14ac:dyDescent="0.25">
      <c r="B312" t="s">
        <v>317</v>
      </c>
      <c r="D312" s="68">
        <f>D242</f>
        <v>257.30400000000685</v>
      </c>
      <c r="E312" t="s">
        <v>4</v>
      </c>
      <c r="G312" t="s">
        <v>246</v>
      </c>
      <c r="H312" t="s">
        <v>323</v>
      </c>
      <c r="I312" s="68">
        <f>I311-I306</f>
        <v>-1.6353665134007542</v>
      </c>
      <c r="J312" t="s">
        <v>4</v>
      </c>
    </row>
    <row r="313" spans="2:21" x14ac:dyDescent="0.25">
      <c r="B313" t="s">
        <v>318</v>
      </c>
      <c r="D313" s="68">
        <f>D312-D311</f>
        <v>10.447000000006852</v>
      </c>
      <c r="E313" t="s">
        <v>4</v>
      </c>
      <c r="G313" t="s">
        <v>306</v>
      </c>
      <c r="H313" t="s">
        <v>322</v>
      </c>
      <c r="I313" s="68">
        <f>(I312/I310)*1000</f>
        <v>-5.1674344522617819</v>
      </c>
      <c r="J313" t="s">
        <v>252</v>
      </c>
    </row>
    <row r="314" spans="2:21" x14ac:dyDescent="0.25">
      <c r="B314" t="s">
        <v>75</v>
      </c>
      <c r="D314">
        <f>T279+D313/1000</f>
        <v>121.93433500000003</v>
      </c>
      <c r="E314" t="s">
        <v>61</v>
      </c>
    </row>
    <row r="315" spans="2:21" x14ac:dyDescent="0.25">
      <c r="B315" t="s">
        <v>319</v>
      </c>
      <c r="D315" s="68">
        <f>(D314-D302)*1000</f>
        <v>261.13632479325588</v>
      </c>
      <c r="E315" t="s">
        <v>4</v>
      </c>
    </row>
    <row r="316" spans="2:21" x14ac:dyDescent="0.25">
      <c r="B316" t="s">
        <v>246</v>
      </c>
      <c r="C316" t="s">
        <v>320</v>
      </c>
      <c r="D316" s="68">
        <f>D310-D304</f>
        <v>-0.57219294583330793</v>
      </c>
      <c r="E316" t="s">
        <v>4</v>
      </c>
    </row>
    <row r="317" spans="2:21" x14ac:dyDescent="0.25">
      <c r="B317" t="s">
        <v>243</v>
      </c>
      <c r="C317" t="s">
        <v>262</v>
      </c>
      <c r="D317" s="68">
        <f>(D316/D315)*1000</f>
        <v>-2.1911656537493149</v>
      </c>
      <c r="E317" t="s">
        <v>252</v>
      </c>
    </row>
    <row r="319" spans="2:21" x14ac:dyDescent="0.25">
      <c r="G319" t="str">
        <f>R273</f>
        <v>lom č. 1</v>
      </c>
      <c r="I319" s="97">
        <f>T273</f>
        <v>121.3</v>
      </c>
      <c r="J319" t="s">
        <v>61</v>
      </c>
      <c r="K319">
        <f>D258</f>
        <v>365.10399999999998</v>
      </c>
      <c r="L319" t="s">
        <v>4</v>
      </c>
    </row>
    <row r="320" spans="2:21" x14ac:dyDescent="0.25">
      <c r="H320" t="s">
        <v>244</v>
      </c>
      <c r="I320" s="68">
        <f>I261</f>
        <v>-6.2720880022186938</v>
      </c>
      <c r="J320" t="s">
        <v>252</v>
      </c>
    </row>
    <row r="321" spans="4:12" x14ac:dyDescent="0.25">
      <c r="I321" s="120"/>
    </row>
    <row r="322" spans="4:12" x14ac:dyDescent="0.25">
      <c r="G322" t="str">
        <f>R274</f>
        <v>lom č. 2</v>
      </c>
      <c r="I322" s="97">
        <f>T274</f>
        <v>121.382907</v>
      </c>
      <c r="J322" t="s">
        <v>61</v>
      </c>
      <c r="K322">
        <f>D262</f>
        <v>364.584</v>
      </c>
      <c r="L322" t="s">
        <v>4</v>
      </c>
    </row>
    <row r="323" spans="4:12" x14ac:dyDescent="0.25">
      <c r="H323" t="s">
        <v>258</v>
      </c>
      <c r="I323" s="68">
        <f>D306</f>
        <v>-7.1789864401573906</v>
      </c>
      <c r="J323" t="s">
        <v>252</v>
      </c>
    </row>
    <row r="324" spans="4:12" x14ac:dyDescent="0.25">
      <c r="H324" t="s">
        <v>238</v>
      </c>
      <c r="I324" s="120">
        <v>9000</v>
      </c>
    </row>
    <row r="325" spans="4:12" x14ac:dyDescent="0.25">
      <c r="G325" t="str">
        <f>R277</f>
        <v>lom č. 3</v>
      </c>
      <c r="I325" s="97">
        <f>T277</f>
        <v>121.67319867520678</v>
      </c>
      <c r="J325" t="s">
        <v>61</v>
      </c>
      <c r="K325" s="68">
        <f>D304</f>
        <v>362.5</v>
      </c>
      <c r="L325" t="s">
        <v>4</v>
      </c>
    </row>
    <row r="326" spans="4:12" x14ac:dyDescent="0.25">
      <c r="D326" s="68"/>
      <c r="H326" t="s">
        <v>262</v>
      </c>
      <c r="I326" s="68">
        <f>D317</f>
        <v>-2.1911656537493149</v>
      </c>
      <c r="J326" t="s">
        <v>252</v>
      </c>
    </row>
    <row r="327" spans="4:12" x14ac:dyDescent="0.25">
      <c r="D327" s="68"/>
      <c r="I327" s="68">
        <v>9500</v>
      </c>
    </row>
    <row r="328" spans="4:12" x14ac:dyDescent="0.25">
      <c r="G328" t="str">
        <f>R283</f>
        <v>lom č. 4</v>
      </c>
      <c r="I328" s="97">
        <f>T283</f>
        <v>122.08514082346687</v>
      </c>
      <c r="J328" t="s">
        <v>61</v>
      </c>
      <c r="K328" s="68">
        <f>I306</f>
        <v>361.59736651340074</v>
      </c>
      <c r="L328" t="s">
        <v>4</v>
      </c>
    </row>
    <row r="329" spans="4:12" x14ac:dyDescent="0.25">
      <c r="D329" s="68"/>
      <c r="H329" t="s">
        <v>322</v>
      </c>
      <c r="I329" s="68">
        <f>I313</f>
        <v>-5.1674344522617819</v>
      </c>
      <c r="J329" t="s">
        <v>252</v>
      </c>
    </row>
    <row r="330" spans="4:12" x14ac:dyDescent="0.25">
      <c r="D330" s="68"/>
      <c r="H330" t="s">
        <v>238</v>
      </c>
      <c r="I330" s="68">
        <v>9000</v>
      </c>
    </row>
    <row r="331" spans="4:12" x14ac:dyDescent="0.25">
      <c r="G331" t="str">
        <f>R286</f>
        <v>lom č. 5</v>
      </c>
      <c r="I331" s="97">
        <f>T286</f>
        <v>122.40161634502573</v>
      </c>
      <c r="J331" t="s">
        <v>61</v>
      </c>
      <c r="K331">
        <f>I311</f>
        <v>359.96199999999999</v>
      </c>
      <c r="L331" t="s">
        <v>4</v>
      </c>
    </row>
    <row r="332" spans="4:12" x14ac:dyDescent="0.25">
      <c r="I332" s="97"/>
    </row>
    <row r="333" spans="4:12" ht="15.75" thickBot="1" x14ac:dyDescent="0.3">
      <c r="I333" s="97"/>
    </row>
    <row r="334" spans="4:12" ht="15.75" thickBot="1" x14ac:dyDescent="0.3">
      <c r="G334" s="121" t="s">
        <v>264</v>
      </c>
      <c r="H334" s="122"/>
      <c r="I334" s="122"/>
      <c r="J334" s="123"/>
    </row>
    <row r="335" spans="4:12" x14ac:dyDescent="0.25">
      <c r="G335" t="s">
        <v>267</v>
      </c>
      <c r="H335" t="s">
        <v>268</v>
      </c>
      <c r="I335" s="68">
        <f>ABS(I320-I323)</f>
        <v>0.90689843793869684</v>
      </c>
      <c r="J335" t="s">
        <v>252</v>
      </c>
    </row>
    <row r="336" spans="4:12" x14ac:dyDescent="0.25">
      <c r="G336" t="s">
        <v>266</v>
      </c>
      <c r="H336" t="s">
        <v>265</v>
      </c>
      <c r="I336" s="68">
        <f>(I324*0.5)*(I335/1000)</f>
        <v>4.0810429707241358</v>
      </c>
      <c r="J336" t="s">
        <v>4</v>
      </c>
    </row>
    <row r="337" spans="7:10" x14ac:dyDescent="0.25">
      <c r="G337" t="s">
        <v>270</v>
      </c>
      <c r="H337" t="s">
        <v>269</v>
      </c>
      <c r="I337" s="96">
        <f>I336^2/(2*I324)</f>
        <v>9.2527287382760445E-4</v>
      </c>
      <c r="J337" t="s">
        <v>4</v>
      </c>
    </row>
    <row r="338" spans="7:10" x14ac:dyDescent="0.25">
      <c r="H338" t="s">
        <v>271</v>
      </c>
      <c r="I338" s="68">
        <f>ABS((I324*I320)/1000)</f>
        <v>56.448792019968238</v>
      </c>
      <c r="J338" t="s">
        <v>4</v>
      </c>
    </row>
    <row r="339" spans="7:10" x14ac:dyDescent="0.25">
      <c r="H339" t="s">
        <v>272</v>
      </c>
      <c r="I339" s="68">
        <f>ABS((I324*I323)/1000)</f>
        <v>64.61087796141652</v>
      </c>
      <c r="J339" t="s">
        <v>4</v>
      </c>
    </row>
    <row r="340" spans="7:10" x14ac:dyDescent="0.25">
      <c r="G340" t="s">
        <v>273</v>
      </c>
      <c r="H340" t="s">
        <v>274</v>
      </c>
      <c r="I340" s="68">
        <f>2*I336</f>
        <v>8.1620859414482716</v>
      </c>
      <c r="J340" t="s">
        <v>4</v>
      </c>
    </row>
    <row r="341" spans="7:10" ht="15.75" thickBot="1" x14ac:dyDescent="0.3">
      <c r="G341" t="s">
        <v>276</v>
      </c>
      <c r="H341" t="s">
        <v>332</v>
      </c>
      <c r="I341" s="68">
        <f>I339-I338</f>
        <v>8.1620859414482823</v>
      </c>
      <c r="J341" t="s">
        <v>4</v>
      </c>
    </row>
    <row r="342" spans="7:10" ht="15.75" thickBot="1" x14ac:dyDescent="0.3">
      <c r="G342" s="121" t="s">
        <v>281</v>
      </c>
      <c r="H342" s="122"/>
      <c r="I342" s="122"/>
      <c r="J342" s="123"/>
    </row>
    <row r="343" spans="7:10" x14ac:dyDescent="0.25">
      <c r="G343" t="s">
        <v>267</v>
      </c>
      <c r="H343" t="s">
        <v>334</v>
      </c>
      <c r="I343" s="68">
        <f>ABS(I323-I326)</f>
        <v>4.9878207864080757</v>
      </c>
      <c r="J343" t="s">
        <v>252</v>
      </c>
    </row>
    <row r="344" spans="7:10" x14ac:dyDescent="0.25">
      <c r="G344" t="s">
        <v>266</v>
      </c>
      <c r="H344" t="s">
        <v>265</v>
      </c>
      <c r="I344" s="68">
        <f>(I327*0.5)*(I343/1000)</f>
        <v>23.692148735438359</v>
      </c>
      <c r="J344" t="s">
        <v>4</v>
      </c>
    </row>
    <row r="345" spans="7:10" x14ac:dyDescent="0.25">
      <c r="G345" t="s">
        <v>270</v>
      </c>
      <c r="H345" t="s">
        <v>269</v>
      </c>
      <c r="I345" s="96">
        <f>I344^2/(2*I327)</f>
        <v>2.954304798432281E-2</v>
      </c>
      <c r="J345" t="s">
        <v>4</v>
      </c>
    </row>
    <row r="346" spans="7:10" x14ac:dyDescent="0.25">
      <c r="H346" t="s">
        <v>271</v>
      </c>
      <c r="I346" s="68">
        <f>ABS((I327*I323)/1000)</f>
        <v>68.200371181495214</v>
      </c>
      <c r="J346" t="s">
        <v>4</v>
      </c>
    </row>
    <row r="347" spans="7:10" x14ac:dyDescent="0.25">
      <c r="H347" t="s">
        <v>272</v>
      </c>
      <c r="I347" s="68">
        <f>ABS((I327*I326)/1000)</f>
        <v>20.816073710618493</v>
      </c>
      <c r="J347" t="s">
        <v>4</v>
      </c>
    </row>
    <row r="348" spans="7:10" x14ac:dyDescent="0.25">
      <c r="G348" t="s">
        <v>273</v>
      </c>
      <c r="H348" t="s">
        <v>274</v>
      </c>
      <c r="I348" s="68">
        <f>2*I344</f>
        <v>47.384297470876717</v>
      </c>
      <c r="J348" t="s">
        <v>4</v>
      </c>
    </row>
    <row r="349" spans="7:10" ht="15.75" thickBot="1" x14ac:dyDescent="0.3">
      <c r="G349" t="s">
        <v>333</v>
      </c>
      <c r="H349" t="s">
        <v>275</v>
      </c>
      <c r="I349" s="68">
        <f>I346-I347</f>
        <v>47.384297470876717</v>
      </c>
      <c r="J349" t="s">
        <v>4</v>
      </c>
    </row>
    <row r="350" spans="7:10" ht="15.75" thickBot="1" x14ac:dyDescent="0.3">
      <c r="G350" s="121" t="s">
        <v>311</v>
      </c>
      <c r="H350" s="122"/>
      <c r="I350" s="122"/>
      <c r="J350" s="123"/>
    </row>
    <row r="351" spans="7:10" x14ac:dyDescent="0.25">
      <c r="G351" t="s">
        <v>267</v>
      </c>
      <c r="H351" t="s">
        <v>335</v>
      </c>
      <c r="I351" s="68">
        <f>ABS(I326-I329)</f>
        <v>2.976268798512467</v>
      </c>
      <c r="J351" t="s">
        <v>252</v>
      </c>
    </row>
    <row r="352" spans="7:10" x14ac:dyDescent="0.25">
      <c r="G352" t="s">
        <v>266</v>
      </c>
      <c r="H352" t="s">
        <v>265</v>
      </c>
      <c r="I352" s="68">
        <f>(I330*0.5)*(I351/1000)</f>
        <v>13.393209593306102</v>
      </c>
      <c r="J352" t="s">
        <v>4</v>
      </c>
    </row>
    <row r="353" spans="7:10" x14ac:dyDescent="0.25">
      <c r="G353" t="s">
        <v>270</v>
      </c>
      <c r="H353" t="s">
        <v>269</v>
      </c>
      <c r="I353" s="96">
        <f>I352^2/(2*I330)</f>
        <v>9.9654479561236999E-3</v>
      </c>
      <c r="J353" t="s">
        <v>4</v>
      </c>
    </row>
    <row r="354" spans="7:10" x14ac:dyDescent="0.25">
      <c r="H354" t="s">
        <v>271</v>
      </c>
      <c r="I354" s="68">
        <f>ABS((I330*I326)/1000)</f>
        <v>19.720490883743835</v>
      </c>
      <c r="J354" t="s">
        <v>4</v>
      </c>
    </row>
    <row r="355" spans="7:10" x14ac:dyDescent="0.25">
      <c r="H355" t="s">
        <v>272</v>
      </c>
      <c r="I355" s="68">
        <f>ABS((I330*I329)/1000)</f>
        <v>46.506910070356042</v>
      </c>
      <c r="J355" t="s">
        <v>4</v>
      </c>
    </row>
    <row r="356" spans="7:10" x14ac:dyDescent="0.25">
      <c r="G356" t="s">
        <v>273</v>
      </c>
      <c r="H356" t="s">
        <v>274</v>
      </c>
      <c r="I356" s="68">
        <f>2*I352</f>
        <v>26.786419186612203</v>
      </c>
      <c r="J356" t="s">
        <v>4</v>
      </c>
    </row>
    <row r="357" spans="7:10" x14ac:dyDescent="0.25">
      <c r="G357" t="s">
        <v>333</v>
      </c>
      <c r="H357" t="s">
        <v>275</v>
      </c>
      <c r="I357" s="68">
        <f>I354-I355</f>
        <v>-26.786419186612207</v>
      </c>
      <c r="J357" t="s">
        <v>4</v>
      </c>
    </row>
    <row r="358" spans="7:10" x14ac:dyDescent="0.25">
      <c r="G358" s="180"/>
      <c r="H358" s="180"/>
      <c r="I358" s="180"/>
      <c r="J358" s="180"/>
    </row>
    <row r="359" spans="7:10" x14ac:dyDescent="0.25">
      <c r="I359" s="68"/>
    </row>
    <row r="360" spans="7:10" x14ac:dyDescent="0.25">
      <c r="I360" s="68"/>
    </row>
    <row r="361" spans="7:10" x14ac:dyDescent="0.25">
      <c r="I361" s="96"/>
    </row>
    <row r="362" spans="7:10" x14ac:dyDescent="0.25">
      <c r="I362" s="68"/>
    </row>
    <row r="363" spans="7:10" x14ac:dyDescent="0.25">
      <c r="I363" s="68"/>
    </row>
    <row r="364" spans="7:10" x14ac:dyDescent="0.25">
      <c r="I364" s="68"/>
    </row>
    <row r="365" spans="7:10" x14ac:dyDescent="0.25">
      <c r="I365" s="68"/>
    </row>
  </sheetData>
  <mergeCells count="134">
    <mergeCell ref="G350:J350"/>
    <mergeCell ref="G358:J358"/>
    <mergeCell ref="B228:E228"/>
    <mergeCell ref="B254:E254"/>
    <mergeCell ref="B256:E256"/>
    <mergeCell ref="B260:E260"/>
    <mergeCell ref="R298:U298"/>
    <mergeCell ref="R299:U299"/>
    <mergeCell ref="G308:J308"/>
    <mergeCell ref="G334:J334"/>
    <mergeCell ref="G342:J342"/>
    <mergeCell ref="M229:P229"/>
    <mergeCell ref="M230:P230"/>
    <mergeCell ref="M245:P245"/>
    <mergeCell ref="G231:J231"/>
    <mergeCell ref="G242:J242"/>
    <mergeCell ref="G247:J247"/>
    <mergeCell ref="B295:B296"/>
    <mergeCell ref="G265:J265"/>
    <mergeCell ref="G266:J266"/>
    <mergeCell ref="G279:G280"/>
    <mergeCell ref="G282:J282"/>
    <mergeCell ref="G295:G296"/>
    <mergeCell ref="G258:J258"/>
    <mergeCell ref="B168:E168"/>
    <mergeCell ref="B176:E176"/>
    <mergeCell ref="B186:E186"/>
    <mergeCell ref="B197:E197"/>
    <mergeCell ref="B205:E205"/>
    <mergeCell ref="B308:E308"/>
    <mergeCell ref="G298:J298"/>
    <mergeCell ref="B299:B300"/>
    <mergeCell ref="G299:G300"/>
    <mergeCell ref="B215:E215"/>
    <mergeCell ref="G168:J168"/>
    <mergeCell ref="G176:J176"/>
    <mergeCell ref="G186:J186"/>
    <mergeCell ref="G197:J197"/>
    <mergeCell ref="G205:J205"/>
    <mergeCell ref="G215:J215"/>
    <mergeCell ref="B298:E298"/>
    <mergeCell ref="B238:E238"/>
    <mergeCell ref="B227:E227"/>
    <mergeCell ref="B229:E229"/>
    <mergeCell ref="B233:E233"/>
    <mergeCell ref="B244:E244"/>
    <mergeCell ref="B249:E249"/>
    <mergeCell ref="B255:E255"/>
    <mergeCell ref="B2:E2"/>
    <mergeCell ref="B36:B37"/>
    <mergeCell ref="B33:B34"/>
    <mergeCell ref="B3:E4"/>
    <mergeCell ref="B6:K6"/>
    <mergeCell ref="G8:K8"/>
    <mergeCell ref="G2:J2"/>
    <mergeCell ref="G3:J3"/>
    <mergeCell ref="G4:J4"/>
    <mergeCell ref="B24:E24"/>
    <mergeCell ref="B8:E8"/>
    <mergeCell ref="H37:H38"/>
    <mergeCell ref="H31:H32"/>
    <mergeCell ref="B30:E30"/>
    <mergeCell ref="G30:J30"/>
    <mergeCell ref="E36:E37"/>
    <mergeCell ref="C36:C37"/>
    <mergeCell ref="C33:C34"/>
    <mergeCell ref="M6:V6"/>
    <mergeCell ref="M8:P8"/>
    <mergeCell ref="R8:V8"/>
    <mergeCell ref="S9:U9"/>
    <mergeCell ref="M24:P24"/>
    <mergeCell ref="M30:P30"/>
    <mergeCell ref="R30:U30"/>
    <mergeCell ref="S31:S32"/>
    <mergeCell ref="M33:M34"/>
    <mergeCell ref="N33:N34"/>
    <mergeCell ref="P36:P37"/>
    <mergeCell ref="R37:R38"/>
    <mergeCell ref="S37:S38"/>
    <mergeCell ref="M43:P43"/>
    <mergeCell ref="R43:U43"/>
    <mergeCell ref="G53:J53"/>
    <mergeCell ref="G39:G40"/>
    <mergeCell ref="G37:G38"/>
    <mergeCell ref="H9:J9"/>
    <mergeCell ref="M36:M37"/>
    <mergeCell ref="N36:N37"/>
    <mergeCell ref="G43:J43"/>
    <mergeCell ref="H39:H40"/>
    <mergeCell ref="M53:P53"/>
    <mergeCell ref="R53:U53"/>
    <mergeCell ref="R39:R40"/>
    <mergeCell ref="S39:S40"/>
    <mergeCell ref="M40:M41"/>
    <mergeCell ref="N40:N41"/>
    <mergeCell ref="P40:P41"/>
    <mergeCell ref="B43:E43"/>
    <mergeCell ref="E40:E41"/>
    <mergeCell ref="C40:C41"/>
    <mergeCell ref="B53:E53"/>
    <mergeCell ref="B40:B41"/>
    <mergeCell ref="B155:E155"/>
    <mergeCell ref="B157:E157"/>
    <mergeCell ref="G157:J157"/>
    <mergeCell ref="H71:H72"/>
    <mergeCell ref="G71:G72"/>
    <mergeCell ref="B71:B72"/>
    <mergeCell ref="B59:E59"/>
    <mergeCell ref="B69:E69"/>
    <mergeCell ref="C71:C72"/>
    <mergeCell ref="B266:E266"/>
    <mergeCell ref="B279:B280"/>
    <mergeCell ref="B282:E282"/>
    <mergeCell ref="B265:E265"/>
    <mergeCell ref="M157:P157"/>
    <mergeCell ref="G82:J82"/>
    <mergeCell ref="G83:J83"/>
    <mergeCell ref="G92:J92"/>
    <mergeCell ref="G101:J101"/>
    <mergeCell ref="G108:J108"/>
    <mergeCell ref="B114:E114"/>
    <mergeCell ref="B116:E116"/>
    <mergeCell ref="B130:E130"/>
    <mergeCell ref="B108:E108"/>
    <mergeCell ref="B82:E82"/>
    <mergeCell ref="B83:E83"/>
    <mergeCell ref="B92:E92"/>
    <mergeCell ref="B101:E101"/>
    <mergeCell ref="B139:E139"/>
    <mergeCell ref="B148:E148"/>
    <mergeCell ref="G116:J116"/>
    <mergeCell ref="G130:J130"/>
    <mergeCell ref="G139:J139"/>
    <mergeCell ref="G148:J148"/>
  </mergeCells>
  <conditionalFormatting sqref="K11">
    <cfRule type="expression" dxfId="33" priority="60">
      <formula>$D$16&lt;=$I$11</formula>
    </cfRule>
    <cfRule type="expression" dxfId="32" priority="61">
      <formula>$D$16&gt;$I$11</formula>
    </cfRule>
  </conditionalFormatting>
  <conditionalFormatting sqref="K12">
    <cfRule type="expression" dxfId="31" priority="58">
      <formula>$D$16&lt;=$I$12</formula>
    </cfRule>
    <cfRule type="expression" dxfId="30" priority="59">
      <formula>$D$16&gt;$I$12</formula>
    </cfRule>
  </conditionalFormatting>
  <conditionalFormatting sqref="K13">
    <cfRule type="expression" dxfId="29" priority="56">
      <formula>$D$17&lt;=$I$13</formula>
    </cfRule>
    <cfRule type="expression" dxfId="28" priority="57">
      <formula>$D$17&gt;$I$13</formula>
    </cfRule>
  </conditionalFormatting>
  <conditionalFormatting sqref="K15">
    <cfRule type="expression" dxfId="27" priority="54">
      <formula>$D$17&lt;=$I$15</formula>
    </cfRule>
    <cfRule type="expression" dxfId="26" priority="55">
      <formula>$D$17&gt;$I$15</formula>
    </cfRule>
  </conditionalFormatting>
  <conditionalFormatting sqref="K14">
    <cfRule type="expression" dxfId="25" priority="44">
      <formula>$D$17&lt;=$I$14</formula>
    </cfRule>
    <cfRule type="expression" dxfId="24" priority="45">
      <formula>$D$17&gt;$I$14</formula>
    </cfRule>
  </conditionalFormatting>
  <conditionalFormatting sqref="K16">
    <cfRule type="expression" dxfId="23" priority="42">
      <formula>$D$18&lt;=$I$16</formula>
    </cfRule>
    <cfRule type="expression" dxfId="22" priority="43">
      <formula>$D$18&gt;$I$16</formula>
    </cfRule>
  </conditionalFormatting>
  <conditionalFormatting sqref="K17">
    <cfRule type="expression" dxfId="21" priority="39">
      <formula>$D$18&lt;=$I$17</formula>
    </cfRule>
    <cfRule type="expression" dxfId="20" priority="41">
      <formula>$D$18&gt;$I$17</formula>
    </cfRule>
  </conditionalFormatting>
  <conditionalFormatting sqref="K18">
    <cfRule type="expression" dxfId="19" priority="37">
      <formula>$D$18&lt;=$I$18</formula>
    </cfRule>
    <cfRule type="expression" dxfId="18" priority="38">
      <formula>$D$18&gt;$I$18</formula>
    </cfRule>
  </conditionalFormatting>
  <conditionalFormatting sqref="V11">
    <cfRule type="expression" dxfId="17" priority="19">
      <formula>$O$16&lt;=$T$11</formula>
    </cfRule>
    <cfRule type="expression" dxfId="16" priority="20">
      <formula>$O$16&gt;$T$11</formula>
    </cfRule>
  </conditionalFormatting>
  <conditionalFormatting sqref="V12">
    <cfRule type="expression" dxfId="15" priority="17">
      <formula>$O$16&lt;=$T$12</formula>
    </cfRule>
    <cfRule type="expression" dxfId="14" priority="18">
      <formula>$O$16&gt;$T$12</formula>
    </cfRule>
  </conditionalFormatting>
  <conditionalFormatting sqref="V13">
    <cfRule type="expression" dxfId="13" priority="15">
      <formula>$O$17&lt;=$T$13</formula>
    </cfRule>
    <cfRule type="expression" dxfId="12" priority="16">
      <formula>$O$17&gt;$T$13</formula>
    </cfRule>
  </conditionalFormatting>
  <conditionalFormatting sqref="V14">
    <cfRule type="expression" dxfId="11" priority="12">
      <formula>$O$17&lt;=$T$14</formula>
    </cfRule>
    <cfRule type="expression" dxfId="10" priority="13">
      <formula>$O$17&gt;$T$14</formula>
    </cfRule>
  </conditionalFormatting>
  <conditionalFormatting sqref="V15">
    <cfRule type="expression" dxfId="9" priority="10">
      <formula>$O$17&lt;=$T$15</formula>
    </cfRule>
    <cfRule type="expression" dxfId="8" priority="11">
      <formula>$O$17&gt;$T$15</formula>
    </cfRule>
  </conditionalFormatting>
  <conditionalFormatting sqref="V16">
    <cfRule type="expression" dxfId="7" priority="8">
      <formula>$O$18&lt;=$T$16</formula>
    </cfRule>
    <cfRule type="expression" dxfId="6" priority="9">
      <formula>$O$18&gt;$T$16</formula>
    </cfRule>
  </conditionalFormatting>
  <conditionalFormatting sqref="V17">
    <cfRule type="expression" dxfId="5" priority="6">
      <formula>$O$18&lt;=$T$17</formula>
    </cfRule>
    <cfRule type="expression" dxfId="4" priority="7">
      <formula>$O$18&gt;$T$17</formula>
    </cfRule>
  </conditionalFormatting>
  <conditionalFormatting sqref="V18">
    <cfRule type="expression" dxfId="3" priority="4">
      <formula>$O$18&lt;=$T$18</formula>
    </cfRule>
    <cfRule type="expression" dxfId="2" priority="5">
      <formula>$O$18&gt;$T$18</formula>
    </cfRule>
  </conditionalFormatting>
  <conditionalFormatting sqref="K10">
    <cfRule type="expression" dxfId="1" priority="1">
      <formula>$D$16&gt;$I$10</formula>
    </cfRule>
    <cfRule type="expression" dxfId="0" priority="3">
      <formula>$D$16&lt;$I$10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test</cp:lastModifiedBy>
  <dcterms:created xsi:type="dcterms:W3CDTF">2017-02-28T16:42:09Z</dcterms:created>
  <dcterms:modified xsi:type="dcterms:W3CDTF">2017-04-13T07:57:56Z</dcterms:modified>
</cp:coreProperties>
</file>